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45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<sst xmlns="http://schemas.openxmlformats.org/spreadsheetml/2006/main" count="146" uniqueCount="93">
  <si>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</si>
  <si>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</si>
  <si>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</si>
  <si>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</si>
  <si>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</si>
  <si>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</si>
  <si>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</si>
  <si>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</si>
  <si>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</si>
  <si>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</si>
  <si>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</si>
  <si>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</si>
  <si>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</si>
  <si>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</si>
  <si>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</si>
  <si>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</si>
  <si>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</si>
  <si>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</si>
  <si>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</si>
  <si>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</si>
  <si>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</si>
  <si>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</si>
  <si>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</si>
  <si>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</si>
  <si>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</si>
  <si>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</si>
  <si>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</si>
  <si>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</si>
  <si>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</si>
  <si>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</si>
  <si>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</si>
  <si>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</si>
  <si>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</si>
  <si>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</si>
  <si>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</si>
  <si>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</si>
  <si>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</si>
  <si>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</si>
  <si>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</si>
  <si>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EX Per / GSC 3306-1564</t>
  </si>
  <si>
    <t>IBVS 5920</t>
  </si>
  <si>
    <t>I</t>
  </si>
  <si>
    <t>EA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</si>
  <si>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</si>
  <si>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</si>
  <si>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</si>
  <si>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</si>
  <si>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</si>
  <si>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</si>
  <si>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</si>
  <si>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</si>
  <si>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</si>
  <si>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</si>
  <si>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</si>
  <si>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2428047.37 </t>
  </si>
  <si>
    <t> 01.09.1935 20:52 </t>
  </si>
  <si>
    <t> -0.03 </t>
  </si>
  <si>
    <t>P </t>
  </si>
  <si>
    <t> C.Hoffmeister </t>
  </si>
  <si>
    <t> VSS 1.82 </t>
  </si>
  <si>
    <t>2429170.41 </t>
  </si>
  <si>
    <t> 28.09.1938 21:50 </t>
  </si>
  <si>
    <t> -0.08 </t>
  </si>
  <si>
    <t>2429365.48 </t>
  </si>
  <si>
    <t> 11.04.1939 23:31 </t>
  </si>
  <si>
    <t> 0.04 </t>
  </si>
  <si>
    <t>2429721.51 </t>
  </si>
  <si>
    <t> 02.04.1940 00:14 </t>
  </si>
  <si>
    <t> 0.07 </t>
  </si>
  <si>
    <t>2429984.26 </t>
  </si>
  <si>
    <t> 20.12.1940 18:14 </t>
  </si>
  <si>
    <t> 0.06 </t>
  </si>
  <si>
    <t>2431022.53 </t>
  </si>
  <si>
    <t> 25.10.1943 00:43 </t>
  </si>
  <si>
    <t> 0.00 </t>
  </si>
  <si>
    <t>V </t>
  </si>
  <si>
    <t>2431026.75 </t>
  </si>
  <si>
    <t> 29.10.1943 06:00 </t>
  </si>
  <si>
    <t> -0.01 </t>
  </si>
  <si>
    <t>2431289.45 </t>
  </si>
  <si>
    <t> 17.07.1944 22:48 </t>
  </si>
  <si>
    <t> -0.07 </t>
  </si>
  <si>
    <t>2431323.46 </t>
  </si>
  <si>
    <t> 20.08.1944 23:02 </t>
  </si>
  <si>
    <t> 0.03 </t>
  </si>
  <si>
    <t>2455106.817 </t>
  </si>
  <si>
    <t> 02.10.2009 07:36 </t>
  </si>
  <si>
    <t> -0.661 </t>
  </si>
  <si>
    <t>C </t>
  </si>
  <si>
    <t> R.Diethelm </t>
  </si>
  <si>
    <t>IBVS 5920 </t>
  </si>
  <si>
    <t>II</t>
  </si>
  <si>
    <t>GCVS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</si>
</sst>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 Per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5352596"/>
        <c:axId val="49737909"/>
      </c:scatterChart>
      <c:valAx>
        <c:axId val="3535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crossBetween val="midCat"/>
        <c:dispUnits/>
      </c:val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29170.49</v>
      </c>
      <c r="D4" s="9">
        <v>8.47614</v>
      </c>
    </row>
    <row r="6" ht="12.75">
      <c r="A6" s="5" t="s">
        <v>1</v>
      </c>
    </row>
    <row r="7" spans="1:3" ht="12.75">
      <c r="A7" t="s">
        <v>2</v>
      </c>
      <c r="C7">
        <f>+C4</f>
        <v>29170.49</v>
      </c>
    </row>
    <row r="8" spans="1:3" ht="12.75">
      <c r="A8" t="s">
        <v>3</v>
      </c>
      <c r="C8">
        <f>+D4</f>
        <v>8.47614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0.020836233843111673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-0.00021900285524020015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55106.82908749681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8.475920997144758</v>
      </c>
      <c r="D16" s="16" t="s">
        <v>35</v>
      </c>
      <c r="E16" s="17">
        <f>ROUND(2*(E15-C15)/C16,0)/2+1</f>
        <v>567.5</v>
      </c>
    </row>
    <row r="17" spans="1:5" ht="13.5" thickBot="1">
      <c r="A17" s="16" t="s">
        <v>31</v>
      </c>
      <c r="B17" s="12"/>
      <c r="C17" s="12">
        <f>COUNT(C21:C2191)</f>
        <v>11</v>
      </c>
      <c r="D17" s="16" t="s">
        <v>36</v>
      </c>
      <c r="E17" s="20">
        <f>+C15+C16*E16-15018.5-C9/24</f>
        <v>44898.8100867098</v>
      </c>
    </row>
    <row r="18" spans="1:5" ht="14.25" thickBot="1" thickTop="1">
      <c r="A18" s="18" t="s">
        <v>5</v>
      </c>
      <c r="B18" s="12"/>
      <c r="C18" s="21">
        <f>+C15</f>
        <v>55106.82908749681</v>
      </c>
      <c r="D18" s="22">
        <f>+C16</f>
        <v>8.475920997144758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92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29170.49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0.020836233843111673</v>
      </c>
      <c r="Q21" s="2">
        <f>+C21-15018.5</f>
        <v>14151.990000000002</v>
      </c>
    </row>
    <row r="22" spans="1:17" ht="12.75">
      <c r="A22" s="29" t="s">
        <v>40</v>
      </c>
      <c r="B22" s="30" t="s">
        <v>41</v>
      </c>
      <c r="C22" s="29">
        <v>55106.817</v>
      </c>
      <c r="D22" s="29">
        <v>0.005</v>
      </c>
      <c r="E22">
        <f aca="true" t="shared" si="0" ref="E22:E31">+(C22-C$7)/C$8</f>
        <v>3059.921969198244</v>
      </c>
      <c r="F22">
        <f aca="true" t="shared" si="1" ref="F22:F31">ROUND(2*E22,0)/2</f>
        <v>3060</v>
      </c>
      <c r="G22">
        <f aca="true" t="shared" si="2" ref="G22:G31">+C22-(C$7+F22*C$8)</f>
        <v>-0.6613999999972293</v>
      </c>
      <c r="I22">
        <f>+G22</f>
        <v>-0.6613999999972293</v>
      </c>
      <c r="O22">
        <f aca="true" t="shared" si="3" ref="O22:O31">+C$11+C$12*$F22</f>
        <v>-0.6493125031919007</v>
      </c>
      <c r="Q22" s="2">
        <f aca="true" t="shared" si="4" ref="Q22:Q31">+C22-15018.5</f>
        <v>40088.317</v>
      </c>
    </row>
    <row r="23" spans="1:17" ht="12.75">
      <c r="A23" s="44" t="s">
        <v>59</v>
      </c>
      <c r="B23" s="46" t="s">
        <v>91</v>
      </c>
      <c r="C23" s="45">
        <v>28047.37</v>
      </c>
      <c r="D23" s="10"/>
      <c r="E23">
        <f t="shared" si="0"/>
        <v>-132.50371041535448</v>
      </c>
      <c r="F23">
        <f t="shared" si="1"/>
        <v>-132.5</v>
      </c>
      <c r="G23">
        <f t="shared" si="2"/>
        <v>-0.03145000000222353</v>
      </c>
      <c r="J23">
        <f aca="true" t="shared" si="5" ref="J23:J31">+G23</f>
        <v>-0.03145000000222353</v>
      </c>
      <c r="O23">
        <f t="shared" si="3"/>
        <v>0.049854112162438194</v>
      </c>
      <c r="Q23" s="2">
        <f t="shared" si="4"/>
        <v>13028.869999999999</v>
      </c>
    </row>
    <row r="24" spans="1:17" ht="12.75">
      <c r="A24" s="44" t="s">
        <v>59</v>
      </c>
      <c r="B24" s="46" t="s">
        <v>41</v>
      </c>
      <c r="C24" s="45">
        <v>29170.41</v>
      </c>
      <c r="D24" s="10"/>
      <c r="E24">
        <f t="shared" si="0"/>
        <v>-0.009438258452756353</v>
      </c>
      <c r="F24">
        <f t="shared" si="1"/>
        <v>0</v>
      </c>
      <c r="G24">
        <f t="shared" si="2"/>
        <v>-0.08000000000174623</v>
      </c>
      <c r="J24">
        <f t="shared" si="5"/>
        <v>-0.08000000000174623</v>
      </c>
      <c r="O24">
        <f t="shared" si="3"/>
        <v>0.020836233843111673</v>
      </c>
      <c r="Q24" s="2">
        <f t="shared" si="4"/>
        <v>14151.91</v>
      </c>
    </row>
    <row r="25" spans="1:17" ht="12.75">
      <c r="A25" s="44" t="s">
        <v>59</v>
      </c>
      <c r="B25" s="46" t="s">
        <v>41</v>
      </c>
      <c r="C25" s="45">
        <v>29365.48</v>
      </c>
      <c r="D25" s="10"/>
      <c r="E25">
        <f t="shared" si="0"/>
        <v>23.004575195784636</v>
      </c>
      <c r="F25">
        <f t="shared" si="1"/>
        <v>23</v>
      </c>
      <c r="G25">
        <f t="shared" si="2"/>
        <v>0.0387799999989511</v>
      </c>
      <c r="J25">
        <f t="shared" si="5"/>
        <v>0.0387799999989511</v>
      </c>
      <c r="O25">
        <f t="shared" si="3"/>
        <v>0.015799168172587072</v>
      </c>
      <c r="Q25" s="2">
        <f t="shared" si="4"/>
        <v>14346.98</v>
      </c>
    </row>
    <row r="26" spans="1:17" ht="12.75">
      <c r="A26" s="44" t="s">
        <v>59</v>
      </c>
      <c r="B26" s="46" t="s">
        <v>41</v>
      </c>
      <c r="C26" s="45">
        <v>29721.51</v>
      </c>
      <c r="D26" s="10"/>
      <c r="E26">
        <f t="shared" si="0"/>
        <v>65.0083646565532</v>
      </c>
      <c r="F26">
        <f t="shared" si="1"/>
        <v>65</v>
      </c>
      <c r="G26">
        <f t="shared" si="2"/>
        <v>0.07089999999516294</v>
      </c>
      <c r="J26">
        <f t="shared" si="5"/>
        <v>0.07089999999516294</v>
      </c>
      <c r="O26">
        <f t="shared" si="3"/>
        <v>0.006601048252498663</v>
      </c>
      <c r="Q26" s="2">
        <f t="shared" si="4"/>
        <v>14703.009999999998</v>
      </c>
    </row>
    <row r="27" spans="1:17" ht="12.75">
      <c r="A27" s="44" t="s">
        <v>59</v>
      </c>
      <c r="B27" s="46" t="s">
        <v>41</v>
      </c>
      <c r="C27" s="45">
        <v>29984.26</v>
      </c>
      <c r="D27" s="10"/>
      <c r="E27">
        <f t="shared" si="0"/>
        <v>96.0071447616482</v>
      </c>
      <c r="F27">
        <f t="shared" si="1"/>
        <v>96</v>
      </c>
      <c r="G27">
        <f t="shared" si="2"/>
        <v>0.06055999999807682</v>
      </c>
      <c r="J27">
        <f t="shared" si="5"/>
        <v>0.06055999999807682</v>
      </c>
      <c r="O27">
        <f t="shared" si="3"/>
        <v>-0.0001880402599475431</v>
      </c>
      <c r="Q27" s="2">
        <f t="shared" si="4"/>
        <v>14965.759999999998</v>
      </c>
    </row>
    <row r="28" spans="1:17" ht="12.75">
      <c r="A28" s="44" t="s">
        <v>59</v>
      </c>
      <c r="B28" s="46" t="s">
        <v>91</v>
      </c>
      <c r="C28" s="45">
        <v>31022.53</v>
      </c>
      <c r="D28" s="10"/>
      <c r="E28">
        <f t="shared" si="0"/>
        <v>218.50040230576624</v>
      </c>
      <c r="F28">
        <f t="shared" si="1"/>
        <v>218.5</v>
      </c>
      <c r="G28">
        <f t="shared" si="2"/>
        <v>0.003409999997529667</v>
      </c>
      <c r="J28">
        <f t="shared" si="5"/>
        <v>0.003409999997529667</v>
      </c>
      <c r="O28">
        <f t="shared" si="3"/>
        <v>-0.02701589002687206</v>
      </c>
      <c r="Q28" s="2">
        <f t="shared" si="4"/>
        <v>16004.029999999999</v>
      </c>
    </row>
    <row r="29" spans="1:17" ht="12.75">
      <c r="A29" s="44" t="s">
        <v>59</v>
      </c>
      <c r="B29" s="46" t="s">
        <v>41</v>
      </c>
      <c r="C29" s="45">
        <v>31026.75</v>
      </c>
      <c r="D29" s="10"/>
      <c r="E29">
        <f t="shared" si="0"/>
        <v>218.9982704391384</v>
      </c>
      <c r="F29">
        <f t="shared" si="1"/>
        <v>219</v>
      </c>
      <c r="G29">
        <f t="shared" si="2"/>
        <v>-0.014660000000731088</v>
      </c>
      <c r="J29">
        <f t="shared" si="5"/>
        <v>-0.014660000000731088</v>
      </c>
      <c r="O29">
        <f t="shared" si="3"/>
        <v>-0.027125391454492158</v>
      </c>
      <c r="Q29" s="2">
        <f t="shared" si="4"/>
        <v>16008.25</v>
      </c>
    </row>
    <row r="30" spans="1:17" ht="12.75">
      <c r="A30" s="44" t="s">
        <v>59</v>
      </c>
      <c r="B30" s="46" t="s">
        <v>41</v>
      </c>
      <c r="C30" s="45">
        <v>31289.45</v>
      </c>
      <c r="D30" s="10"/>
      <c r="E30">
        <f t="shared" si="0"/>
        <v>249.99115163270065</v>
      </c>
      <c r="F30">
        <f t="shared" si="1"/>
        <v>250</v>
      </c>
      <c r="G30">
        <f t="shared" si="2"/>
        <v>-0.0750000000007276</v>
      </c>
      <c r="J30">
        <f t="shared" si="5"/>
        <v>-0.0750000000007276</v>
      </c>
      <c r="O30">
        <f t="shared" si="3"/>
        <v>-0.03391447996693837</v>
      </c>
      <c r="Q30" s="2">
        <f t="shared" si="4"/>
        <v>16270.95</v>
      </c>
    </row>
    <row r="31" spans="1:17" ht="12.75">
      <c r="A31" s="44" t="s">
        <v>59</v>
      </c>
      <c r="B31" s="46" t="s">
        <v>41</v>
      </c>
      <c r="C31" s="45">
        <v>31323.46</v>
      </c>
      <c r="D31" s="10"/>
      <c r="E31">
        <f t="shared" si="0"/>
        <v>254.00359125734093</v>
      </c>
      <c r="F31">
        <f t="shared" si="1"/>
        <v>254</v>
      </c>
      <c r="G31">
        <f t="shared" si="2"/>
        <v>0.03043999999863445</v>
      </c>
      <c r="J31">
        <f t="shared" si="5"/>
        <v>0.03043999999863445</v>
      </c>
      <c r="O31">
        <f t="shared" si="3"/>
        <v>-0.034790491387899164</v>
      </c>
      <c r="Q31" s="2">
        <f t="shared" si="4"/>
        <v>16304.96</v>
      </c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2"/>
  <sheetViews>
    <sheetView zoomScalePageLayoutView="0" workbookViewId="0" topLeftCell="A1">
      <selection activeCell="A12" sqref="A12:C20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1" t="s">
        <v>43</v>
      </c>
      <c r="I1" s="32" t="s">
        <v>44</v>
      </c>
      <c r="J1" s="33" t="s">
        <v>45</v>
      </c>
    </row>
    <row r="2" spans="9:10" ht="12.75">
      <c r="I2" s="34" t="s">
        <v>46</v>
      </c>
      <c r="J2" s="35" t="s">
        <v>47</v>
      </c>
    </row>
    <row r="3" spans="1:10" ht="12.75">
      <c r="A3" s="36" t="s">
        <v>48</v>
      </c>
      <c r="I3" s="34" t="s">
        <v>49</v>
      </c>
      <c r="J3" s="35" t="s">
        <v>50</v>
      </c>
    </row>
    <row r="4" spans="9:10" ht="12.75">
      <c r="I4" s="34" t="s">
        <v>51</v>
      </c>
      <c r="J4" s="35" t="s">
        <v>50</v>
      </c>
    </row>
    <row r="5" spans="9:10" ht="13.5" thickBot="1">
      <c r="I5" s="37" t="s">
        <v>52</v>
      </c>
      <c r="J5" s="38" t="s">
        <v>53</v>
      </c>
    </row>
    <row r="10" ht="13.5" thickBot="1"/>
    <row r="11" spans="1:16" ht="12.75" customHeight="1" thickBot="1">
      <c r="A11" s="10" t="str">
        <f aca="true" t="shared" si="0" ref="A11:A20">P11</f>
        <v>IBVS 5920 </v>
      </c>
      <c r="B11" s="3" t="str">
        <f aca="true" t="shared" si="1" ref="B11:B20">IF(H11=INT(H11),"I","II")</f>
        <v>I</v>
      </c>
      <c r="C11" s="10">
        <f aca="true" t="shared" si="2" ref="C11:C20">1*G11</f>
        <v>55106.817</v>
      </c>
      <c r="D11" s="12" t="str">
        <f aca="true" t="shared" si="3" ref="D11:D20">VLOOKUP(F11,I$1:J$5,2,FALSE)</f>
        <v>vis</v>
      </c>
      <c r="E11" s="39">
        <f>VLOOKUP(C11,A!C$21:E$973,3,FALSE)</f>
        <v>3059.921969198244</v>
      </c>
      <c r="F11" s="3" t="s">
        <v>52</v>
      </c>
      <c r="G11" s="12" t="str">
        <f aca="true" t="shared" si="4" ref="G11:G20">MID(I11,3,LEN(I11)-3)</f>
        <v>55106.817</v>
      </c>
      <c r="H11" s="10">
        <f aca="true" t="shared" si="5" ref="H11:H20">1*K11</f>
        <v>3060</v>
      </c>
      <c r="I11" s="40" t="s">
        <v>85</v>
      </c>
      <c r="J11" s="41" t="s">
        <v>86</v>
      </c>
      <c r="K11" s="40">
        <v>3060</v>
      </c>
      <c r="L11" s="40" t="s">
        <v>87</v>
      </c>
      <c r="M11" s="41" t="s">
        <v>88</v>
      </c>
      <c r="N11" s="41" t="s">
        <v>52</v>
      </c>
      <c r="O11" s="42" t="s">
        <v>89</v>
      </c>
      <c r="P11" s="43" t="s">
        <v>90</v>
      </c>
    </row>
    <row r="12" spans="1:16" ht="12.75" customHeight="1" thickBot="1">
      <c r="A12" s="10" t="str">
        <f t="shared" si="0"/>
        <v> VSS 1.82 </v>
      </c>
      <c r="B12" s="3" t="str">
        <f t="shared" si="1"/>
        <v>II</v>
      </c>
      <c r="C12" s="10">
        <f t="shared" si="2"/>
        <v>28047.37</v>
      </c>
      <c r="D12" s="12" t="str">
        <f t="shared" si="3"/>
        <v>vis</v>
      </c>
      <c r="E12" s="39">
        <f>VLOOKUP(C12,A!C$21:E$973,3,FALSE)</f>
        <v>-132.50371041535448</v>
      </c>
      <c r="F12" s="3" t="s">
        <v>52</v>
      </c>
      <c r="G12" s="12" t="str">
        <f t="shared" si="4"/>
        <v>28047.37</v>
      </c>
      <c r="H12" s="10">
        <f t="shared" si="5"/>
        <v>-132.5</v>
      </c>
      <c r="I12" s="40" t="s">
        <v>54</v>
      </c>
      <c r="J12" s="41" t="s">
        <v>55</v>
      </c>
      <c r="K12" s="40">
        <v>-132.5</v>
      </c>
      <c r="L12" s="40" t="s">
        <v>56</v>
      </c>
      <c r="M12" s="41" t="s">
        <v>57</v>
      </c>
      <c r="N12" s="41"/>
      <c r="O12" s="42" t="s">
        <v>58</v>
      </c>
      <c r="P12" s="42" t="s">
        <v>59</v>
      </c>
    </row>
    <row r="13" spans="1:16" ht="12.75" customHeight="1" thickBot="1">
      <c r="A13" s="10" t="str">
        <f t="shared" si="0"/>
        <v> VSS 1.82 </v>
      </c>
      <c r="B13" s="3" t="str">
        <f t="shared" si="1"/>
        <v>I</v>
      </c>
      <c r="C13" s="10">
        <f t="shared" si="2"/>
        <v>29170.41</v>
      </c>
      <c r="D13" s="12" t="str">
        <f t="shared" si="3"/>
        <v>vis</v>
      </c>
      <c r="E13" s="39">
        <f>VLOOKUP(C13,A!C$21:E$973,3,FALSE)</f>
        <v>-0.009438258452756353</v>
      </c>
      <c r="F13" s="3" t="s">
        <v>52</v>
      </c>
      <c r="G13" s="12" t="str">
        <f t="shared" si="4"/>
        <v>29170.41</v>
      </c>
      <c r="H13" s="10">
        <f t="shared" si="5"/>
        <v>0</v>
      </c>
      <c r="I13" s="40" t="s">
        <v>60</v>
      </c>
      <c r="J13" s="41" t="s">
        <v>61</v>
      </c>
      <c r="K13" s="40">
        <v>0</v>
      </c>
      <c r="L13" s="40" t="s">
        <v>62</v>
      </c>
      <c r="M13" s="41" t="s">
        <v>57</v>
      </c>
      <c r="N13" s="41"/>
      <c r="O13" s="42" t="s">
        <v>58</v>
      </c>
      <c r="P13" s="42" t="s">
        <v>59</v>
      </c>
    </row>
    <row r="14" spans="1:16" ht="12.75" customHeight="1" thickBot="1">
      <c r="A14" s="10" t="str">
        <f t="shared" si="0"/>
        <v> VSS 1.82 </v>
      </c>
      <c r="B14" s="3" t="str">
        <f t="shared" si="1"/>
        <v>I</v>
      </c>
      <c r="C14" s="10">
        <f t="shared" si="2"/>
        <v>29365.48</v>
      </c>
      <c r="D14" s="12" t="str">
        <f t="shared" si="3"/>
        <v>vis</v>
      </c>
      <c r="E14" s="39">
        <f>VLOOKUP(C14,A!C$21:E$973,3,FALSE)</f>
        <v>23.004575195784636</v>
      </c>
      <c r="F14" s="3" t="s">
        <v>52</v>
      </c>
      <c r="G14" s="12" t="str">
        <f t="shared" si="4"/>
        <v>29365.48</v>
      </c>
      <c r="H14" s="10">
        <f t="shared" si="5"/>
        <v>23</v>
      </c>
      <c r="I14" s="40" t="s">
        <v>63</v>
      </c>
      <c r="J14" s="41" t="s">
        <v>64</v>
      </c>
      <c r="K14" s="40">
        <v>23</v>
      </c>
      <c r="L14" s="40" t="s">
        <v>65</v>
      </c>
      <c r="M14" s="41" t="s">
        <v>57</v>
      </c>
      <c r="N14" s="41"/>
      <c r="O14" s="42" t="s">
        <v>58</v>
      </c>
      <c r="P14" s="42" t="s">
        <v>59</v>
      </c>
    </row>
    <row r="15" spans="1:16" ht="12.75" customHeight="1" thickBot="1">
      <c r="A15" s="10" t="str">
        <f t="shared" si="0"/>
        <v> VSS 1.82 </v>
      </c>
      <c r="B15" s="3" t="str">
        <f t="shared" si="1"/>
        <v>I</v>
      </c>
      <c r="C15" s="10">
        <f t="shared" si="2"/>
        <v>29721.51</v>
      </c>
      <c r="D15" s="12" t="str">
        <f t="shared" si="3"/>
        <v>vis</v>
      </c>
      <c r="E15" s="39">
        <f>VLOOKUP(C15,A!C$21:E$973,3,FALSE)</f>
        <v>65.0083646565532</v>
      </c>
      <c r="F15" s="3" t="s">
        <v>52</v>
      </c>
      <c r="G15" s="12" t="str">
        <f t="shared" si="4"/>
        <v>29721.51</v>
      </c>
      <c r="H15" s="10">
        <f t="shared" si="5"/>
        <v>65</v>
      </c>
      <c r="I15" s="40" t="s">
        <v>66</v>
      </c>
      <c r="J15" s="41" t="s">
        <v>67</v>
      </c>
      <c r="K15" s="40">
        <v>65</v>
      </c>
      <c r="L15" s="40" t="s">
        <v>68</v>
      </c>
      <c r="M15" s="41" t="s">
        <v>57</v>
      </c>
      <c r="N15" s="41"/>
      <c r="O15" s="42" t="s">
        <v>58</v>
      </c>
      <c r="P15" s="42" t="s">
        <v>59</v>
      </c>
    </row>
    <row r="16" spans="1:16" ht="12.75" customHeight="1" thickBot="1">
      <c r="A16" s="10" t="str">
        <f t="shared" si="0"/>
        <v> VSS 1.82 </v>
      </c>
      <c r="B16" s="3" t="str">
        <f t="shared" si="1"/>
        <v>I</v>
      </c>
      <c r="C16" s="10">
        <f t="shared" si="2"/>
        <v>29984.26</v>
      </c>
      <c r="D16" s="12" t="str">
        <f t="shared" si="3"/>
        <v>vis</v>
      </c>
      <c r="E16" s="39">
        <f>VLOOKUP(C16,A!C$21:E$973,3,FALSE)</f>
        <v>96.0071447616482</v>
      </c>
      <c r="F16" s="3" t="s">
        <v>52</v>
      </c>
      <c r="G16" s="12" t="str">
        <f t="shared" si="4"/>
        <v>29984.26</v>
      </c>
      <c r="H16" s="10">
        <f t="shared" si="5"/>
        <v>96</v>
      </c>
      <c r="I16" s="40" t="s">
        <v>69</v>
      </c>
      <c r="J16" s="41" t="s">
        <v>70</v>
      </c>
      <c r="K16" s="40">
        <v>96</v>
      </c>
      <c r="L16" s="40" t="s">
        <v>71</v>
      </c>
      <c r="M16" s="41" t="s">
        <v>57</v>
      </c>
      <c r="N16" s="41"/>
      <c r="O16" s="42" t="s">
        <v>58</v>
      </c>
      <c r="P16" s="42" t="s">
        <v>59</v>
      </c>
    </row>
    <row r="17" spans="1:16" ht="12.75" customHeight="1" thickBot="1">
      <c r="A17" s="10" t="str">
        <f t="shared" si="0"/>
        <v> VSS 1.82 </v>
      </c>
      <c r="B17" s="3" t="str">
        <f t="shared" si="1"/>
        <v>II</v>
      </c>
      <c r="C17" s="10">
        <f t="shared" si="2"/>
        <v>31022.53</v>
      </c>
      <c r="D17" s="12" t="str">
        <f t="shared" si="3"/>
        <v>vis</v>
      </c>
      <c r="E17" s="39">
        <f>VLOOKUP(C17,A!C$21:E$973,3,FALSE)</f>
        <v>218.50040230576624</v>
      </c>
      <c r="F17" s="3" t="s">
        <v>52</v>
      </c>
      <c r="G17" s="12" t="str">
        <f t="shared" si="4"/>
        <v>31022.53</v>
      </c>
      <c r="H17" s="10">
        <f t="shared" si="5"/>
        <v>218.5</v>
      </c>
      <c r="I17" s="40" t="s">
        <v>72</v>
      </c>
      <c r="J17" s="41" t="s">
        <v>73</v>
      </c>
      <c r="K17" s="40">
        <v>218.5</v>
      </c>
      <c r="L17" s="40" t="s">
        <v>74</v>
      </c>
      <c r="M17" s="41" t="s">
        <v>75</v>
      </c>
      <c r="N17" s="41"/>
      <c r="O17" s="42" t="s">
        <v>58</v>
      </c>
      <c r="P17" s="42" t="s">
        <v>59</v>
      </c>
    </row>
    <row r="18" spans="1:16" ht="12.75" customHeight="1" thickBot="1">
      <c r="A18" s="10" t="str">
        <f t="shared" si="0"/>
        <v> VSS 1.82 </v>
      </c>
      <c r="B18" s="3" t="str">
        <f t="shared" si="1"/>
        <v>I</v>
      </c>
      <c r="C18" s="10">
        <f t="shared" si="2"/>
        <v>31026.75</v>
      </c>
      <c r="D18" s="12" t="str">
        <f t="shared" si="3"/>
        <v>vis</v>
      </c>
      <c r="E18" s="39">
        <f>VLOOKUP(C18,A!C$21:E$973,3,FALSE)</f>
        <v>218.9982704391384</v>
      </c>
      <c r="F18" s="3" t="s">
        <v>52</v>
      </c>
      <c r="G18" s="12" t="str">
        <f t="shared" si="4"/>
        <v>31026.75</v>
      </c>
      <c r="H18" s="10">
        <f t="shared" si="5"/>
        <v>219</v>
      </c>
      <c r="I18" s="40" t="s">
        <v>76</v>
      </c>
      <c r="J18" s="41" t="s">
        <v>77</v>
      </c>
      <c r="K18" s="40">
        <v>219</v>
      </c>
      <c r="L18" s="40" t="s">
        <v>78</v>
      </c>
      <c r="M18" s="41" t="s">
        <v>75</v>
      </c>
      <c r="N18" s="41"/>
      <c r="O18" s="42" t="s">
        <v>58</v>
      </c>
      <c r="P18" s="42" t="s">
        <v>59</v>
      </c>
    </row>
    <row r="19" spans="1:16" ht="12.75" customHeight="1" thickBot="1">
      <c r="A19" s="10" t="str">
        <f t="shared" si="0"/>
        <v> VSS 1.82 </v>
      </c>
      <c r="B19" s="3" t="str">
        <f t="shared" si="1"/>
        <v>I</v>
      </c>
      <c r="C19" s="10">
        <f t="shared" si="2"/>
        <v>31289.45</v>
      </c>
      <c r="D19" s="12" t="str">
        <f t="shared" si="3"/>
        <v>vis</v>
      </c>
      <c r="E19" s="39">
        <f>VLOOKUP(C19,A!C$21:E$973,3,FALSE)</f>
        <v>249.99115163270065</v>
      </c>
      <c r="F19" s="3" t="s">
        <v>52</v>
      </c>
      <c r="G19" s="12" t="str">
        <f t="shared" si="4"/>
        <v>31289.45</v>
      </c>
      <c r="H19" s="10">
        <f t="shared" si="5"/>
        <v>250</v>
      </c>
      <c r="I19" s="40" t="s">
        <v>79</v>
      </c>
      <c r="J19" s="41" t="s">
        <v>80</v>
      </c>
      <c r="K19" s="40">
        <v>250</v>
      </c>
      <c r="L19" s="40" t="s">
        <v>81</v>
      </c>
      <c r="M19" s="41" t="s">
        <v>75</v>
      </c>
      <c r="N19" s="41"/>
      <c r="O19" s="42" t="s">
        <v>58</v>
      </c>
      <c r="P19" s="42" t="s">
        <v>59</v>
      </c>
    </row>
    <row r="20" spans="1:16" ht="12.75" customHeight="1" thickBot="1">
      <c r="A20" s="10" t="str">
        <f t="shared" si="0"/>
        <v> VSS 1.82 </v>
      </c>
      <c r="B20" s="3" t="str">
        <f t="shared" si="1"/>
        <v>I</v>
      </c>
      <c r="C20" s="10">
        <f t="shared" si="2"/>
        <v>31323.46</v>
      </c>
      <c r="D20" s="12" t="str">
        <f t="shared" si="3"/>
        <v>vis</v>
      </c>
      <c r="E20" s="39">
        <f>VLOOKUP(C20,A!C$21:E$973,3,FALSE)</f>
        <v>254.00359125734093</v>
      </c>
      <c r="F20" s="3" t="s">
        <v>52</v>
      </c>
      <c r="G20" s="12" t="str">
        <f t="shared" si="4"/>
        <v>31323.46</v>
      </c>
      <c r="H20" s="10">
        <f t="shared" si="5"/>
        <v>254</v>
      </c>
      <c r="I20" s="40" t="s">
        <v>82</v>
      </c>
      <c r="J20" s="41" t="s">
        <v>83</v>
      </c>
      <c r="K20" s="40">
        <v>254</v>
      </c>
      <c r="L20" s="40" t="s">
        <v>84</v>
      </c>
      <c r="M20" s="41" t="s">
        <v>75</v>
      </c>
      <c r="N20" s="41"/>
      <c r="O20" s="42" t="s">
        <v>58</v>
      </c>
      <c r="P20" s="42" t="s">
        <v>59</v>
      </c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</sheetData>
  <sheetProtection/>
  <hyperlinks>
    <hyperlink ref="P11" r:id="rId1" display="http://www.konkoly.hu/cgi-bin/IBVS?59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