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32760" windowWidth="8595" windowHeight="1369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<sst xmlns="http://schemas.openxmlformats.org/spreadsheetml/2006/main" count="168" uniqueCount="119">
  <si>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</si>
  <si>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</si>
  <si>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</si>
  <si>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</si>
  <si>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</si>
  <si>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</si>
  <si>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</si>
  <si>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</si>
  <si>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</si>
  <si>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</si>
  <si>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</si>
  <si>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</si>
  <si>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</si>
  <si>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</si>
  <si>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</si>
  <si>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</si>
  <si>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</si>
  <si>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</si>
  <si>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</si>
  <si>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</si>
  <si>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</si>
  <si>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</si>
  <si>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</si>
  <si>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</si>
  <si>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</si>
  <si>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</si>
  <si>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</si>
  <si>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</si>
  <si>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Cracow</t>
  </si>
  <si>
    <t>http://www.as.ap.krakow.pl/o-c/data/getdata.php3?HK%20per</t>
  </si>
  <si>
    <t>HK Per / GSC 02888-01910</t>
  </si>
  <si>
    <t>EA/SD</t>
  </si>
  <si>
    <t>Cracow database &gt;&gt;&gt;&gt;</t>
  </si>
  <si>
    <t>IBVS 5657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</si>
  <si>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</si>
  <si>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</si>
  <si>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</si>
  <si>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</si>
  <si>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</si>
  <si>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</si>
  <si>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Start of linear fit &gt;&gt;&gt;&gt;&gt;&gt;&gt;&gt;&gt;&gt;&gt;&gt;&gt;&gt;&gt;&gt;&gt;&gt;&gt;&gt;&gt;</t>
  </si>
  <si>
    <t>IBVS 5871</t>
  </si>
  <si>
    <t>I</t>
  </si>
  <si>
    <t>OEJV 0107</t>
  </si>
  <si>
    <t>IBVS</t>
  </si>
  <si>
    <t>OEJV</t>
  </si>
  <si>
    <t>IBVS 5920</t>
  </si>
  <si>
    <t>Add cycle</t>
  </si>
  <si>
    <t>Old Cycle</t>
  </si>
  <si>
    <t>IBVS 5676</t>
  </si>
  <si>
    <t>IBVS 6011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</si>
  <si>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</si>
  <si>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</si>
  <si>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</si>
  <si>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</si>
  <si>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</si>
  <si>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</si>
  <si>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</si>
  <si>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</si>
  <si>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</si>
  <si>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</si>
  <si>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</si>
  <si>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</si>
  <si>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2452193.596 </t>
  </si>
  <si>
    <t> 11.10.2001 02:18 </t>
  </si>
  <si>
    <t> 0.085 </t>
  </si>
  <si>
    <t>E </t>
  </si>
  <si>
    <t>?</t>
  </si>
  <si>
    <t> R.Diethelm </t>
  </si>
  <si>
    <t> BBS 126 </t>
  </si>
  <si>
    <t>2452217.517 </t>
  </si>
  <si>
    <t> 04.11.2001 00:24 </t>
  </si>
  <si>
    <t> BBS 127 </t>
  </si>
  <si>
    <t>2452926.4399 </t>
  </si>
  <si>
    <t> 13.10.2003 22:33 </t>
  </si>
  <si>
    <t> 0.0839 </t>
  </si>
  <si>
    <t> L.Kotková &amp; M.Wolf </t>
  </si>
  <si>
    <t>IBVS 5676 </t>
  </si>
  <si>
    <t>2453387.4601 </t>
  </si>
  <si>
    <t> 16.01.2005 23:02 </t>
  </si>
  <si>
    <t> 0.0860 </t>
  </si>
  <si>
    <t>-I</t>
  </si>
  <si>
    <t> F.Agerer </t>
  </si>
  <si>
    <t>BAVM 173 </t>
  </si>
  <si>
    <t>2453985.4810 </t>
  </si>
  <si>
    <t> 06.09.2006 23:32 </t>
  </si>
  <si>
    <t>5171</t>
  </si>
  <si>
    <t> 0.0880 </t>
  </si>
  <si>
    <t>C </t>
  </si>
  <si>
    <t>R</t>
  </si>
  <si>
    <t> M.Lehky </t>
  </si>
  <si>
    <t>OEJV 0107 </t>
  </si>
  <si>
    <t>2454774.8653 </t>
  </si>
  <si>
    <t> 04.11.2008 08:46 </t>
  </si>
  <si>
    <t>5534</t>
  </si>
  <si>
    <t> 0.0874 </t>
  </si>
  <si>
    <t>IBVS 5871 </t>
  </si>
  <si>
    <t>2454831.4127 </t>
  </si>
  <si>
    <t> 30.12.2008 21:54 </t>
  </si>
  <si>
    <t>5560</t>
  </si>
  <si>
    <t> 0.0949 </t>
  </si>
  <si>
    <t>2455135.8551 </t>
  </si>
  <si>
    <t> 31.10.2009 08:31 </t>
  </si>
  <si>
    <t>5700</t>
  </si>
  <si>
    <t> 0.0913 </t>
  </si>
  <si>
    <t>IBVS 5920 </t>
  </si>
  <si>
    <t>2455883.9255 </t>
  </si>
  <si>
    <t> 18.11.2011 10:12 </t>
  </si>
  <si>
    <t>6044</t>
  </si>
  <si>
    <t> 0.0945 </t>
  </si>
  <si>
    <t>IBVS 6011 </t>
  </si>
  <si>
    <t>2456984.2846 </t>
  </si>
  <si>
    <t> 22.11.2014 18:49 </t>
  </si>
  <si>
    <t>6550</t>
  </si>
  <si>
    <t> 0.0989 </t>
  </si>
  <si>
    <t>o</t>
  </si>
  <si>
    <t> W.Moschner &amp; P.Frank </t>
  </si>
  <si>
    <t>BAVM 239 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</si>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</sst>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top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4" fillId="33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HK Per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475"/>
          <c:w val="0.916"/>
          <c:h val="0.795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Cracow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0.0001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0.0002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0.0001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0.0002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0.0001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0.0002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0.0001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0.0002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0.0001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0.0002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0.0001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0.0002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0.0001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0.0002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0.0001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0.0002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0.0001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0.0002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0.0001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0.0002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0.0001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0.0002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0.0001</c:v>
                  </c:pt>
                  <c:pt idx="5">
                    <c:v>0.0005</c:v>
                  </c:pt>
                  <c:pt idx="6">
                    <c:v>NaN</c:v>
                  </c:pt>
                  <c:pt idx="7">
                    <c:v>0.0002</c:v>
                  </c:pt>
                  <c:pt idx="8">
                    <c:v>0.0002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48174110"/>
        <c:axId val="30913807"/>
      </c:scatterChart>
      <c:valAx>
        <c:axId val="48174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3807"/>
        <c:crosses val="autoZero"/>
        <c:crossBetween val="midCat"/>
        <c:dispUnits/>
      </c:valAx>
      <c:valAx>
        <c:axId val="30913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7411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225"/>
          <c:y val="0.9305"/>
          <c:w val="0.777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600075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14850" y="0"/>
        <a:ext cx="68389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676" TargetMode="External" /><Relationship Id="rId2" Type="http://schemas.openxmlformats.org/officeDocument/2006/relationships/hyperlink" Target="http://www.bav-astro.de/sfs/BAVM_link.php?BAVMnr=173" TargetMode="External" /><Relationship Id="rId3" Type="http://schemas.openxmlformats.org/officeDocument/2006/relationships/hyperlink" Target="http://var.astro.cz/oejv/issues/oejv0107.pdf" TargetMode="External" /><Relationship Id="rId4" Type="http://schemas.openxmlformats.org/officeDocument/2006/relationships/hyperlink" Target="http://www.konkoly.hu/cgi-bin/IBVS?5871" TargetMode="External" /><Relationship Id="rId5" Type="http://schemas.openxmlformats.org/officeDocument/2006/relationships/hyperlink" Target="http://var.astro.cz/oejv/issues/oejv0107.pdf" TargetMode="External" /><Relationship Id="rId6" Type="http://schemas.openxmlformats.org/officeDocument/2006/relationships/hyperlink" Target="http://www.konkoly.hu/cgi-bin/IBVS?5920" TargetMode="External" /><Relationship Id="rId7" Type="http://schemas.openxmlformats.org/officeDocument/2006/relationships/hyperlink" Target="http://www.konkoly.hu/cgi-bin/IBVS?6011" TargetMode="External" /><Relationship Id="rId8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30</v>
      </c>
    </row>
    <row r="2" spans="1:2" ht="12.75">
      <c r="A2" t="s">
        <v>24</v>
      </c>
      <c r="B2" s="10" t="s">
        <v>31</v>
      </c>
    </row>
    <row r="3" spans="3:5" ht="13.5" thickBot="1">
      <c r="C3" s="11" t="s">
        <v>32</v>
      </c>
      <c r="D3" s="11"/>
      <c r="E3" s="11" t="s">
        <v>29</v>
      </c>
    </row>
    <row r="4" spans="1:4" ht="14.25" thickBot="1" thickTop="1">
      <c r="A4" s="7" t="s">
        <v>0</v>
      </c>
      <c r="C4" s="3">
        <v>42740.464</v>
      </c>
      <c r="D4" s="4">
        <v>2.174614</v>
      </c>
    </row>
    <row r="5" spans="1:4" ht="13.5" thickTop="1">
      <c r="A5" s="14" t="s">
        <v>34</v>
      </c>
      <c r="B5" s="15"/>
      <c r="C5" s="16">
        <v>-9.5</v>
      </c>
      <c r="D5" s="15" t="s">
        <v>35</v>
      </c>
    </row>
    <row r="6" ht="12.75">
      <c r="A6" s="7" t="s">
        <v>1</v>
      </c>
    </row>
    <row r="7" spans="1:3" ht="12.75">
      <c r="A7" t="s">
        <v>2</v>
      </c>
      <c r="C7">
        <f>+C4</f>
        <v>42740.464</v>
      </c>
    </row>
    <row r="8" spans="1:3" ht="12.75">
      <c r="A8" t="s">
        <v>3</v>
      </c>
      <c r="C8">
        <f>+D4</f>
        <v>2.174614</v>
      </c>
    </row>
    <row r="9" spans="1:4" ht="12.75">
      <c r="A9" s="29" t="s">
        <v>40</v>
      </c>
      <c r="B9" s="30">
        <v>21</v>
      </c>
      <c r="C9" s="27" t="str">
        <f>"F"&amp;B9</f>
        <v>F21</v>
      </c>
      <c r="D9" s="28" t="str">
        <f>"G"&amp;B9</f>
        <v>G21</v>
      </c>
    </row>
    <row r="10" spans="1:5" ht="13.5" thickBot="1">
      <c r="A10" s="15"/>
      <c r="B10" s="15"/>
      <c r="C10" s="6" t="s">
        <v>20</v>
      </c>
      <c r="D10" s="6" t="s">
        <v>21</v>
      </c>
      <c r="E10" s="15"/>
    </row>
    <row r="11" spans="1:5" ht="12.75">
      <c r="A11" s="15" t="s">
        <v>16</v>
      </c>
      <c r="B11" s="15"/>
      <c r="C11" s="26">
        <f ca="1">INTERCEPT(INDIRECT($D$9):G992,INDIRECT($C$9):F992)</f>
        <v>0.05459975321812496</v>
      </c>
      <c r="D11" s="5"/>
      <c r="E11" s="15"/>
    </row>
    <row r="12" spans="1:5" ht="12.75">
      <c r="A12" s="15" t="s">
        <v>17</v>
      </c>
      <c r="B12" s="15"/>
      <c r="C12" s="26">
        <f ca="1">SLOPE(INDIRECT($D$9):G992,INDIRECT($C$9):F992)</f>
        <v>6.64967300605012E-06</v>
      </c>
      <c r="D12" s="5"/>
      <c r="E12" s="15"/>
    </row>
    <row r="13" spans="1:3" ht="12.75">
      <c r="A13" s="15" t="s">
        <v>19</v>
      </c>
      <c r="B13" s="15"/>
      <c r="C13" s="5" t="s">
        <v>14</v>
      </c>
    </row>
    <row r="14" spans="1:3" ht="12.75">
      <c r="A14" s="15"/>
      <c r="B14" s="15"/>
      <c r="C14" s="15"/>
    </row>
    <row r="15" spans="1:6" ht="12.75">
      <c r="A15" s="17" t="s">
        <v>18</v>
      </c>
      <c r="B15" s="15"/>
      <c r="C15" s="18">
        <f>(C7+C11)+(C8+C12)*INT(MAX(F21:F3533))</f>
        <v>56984.28385511141</v>
      </c>
      <c r="E15" s="19" t="s">
        <v>47</v>
      </c>
      <c r="F15" s="16">
        <v>1</v>
      </c>
    </row>
    <row r="16" spans="1:6" ht="12.75">
      <c r="A16" s="21" t="s">
        <v>4</v>
      </c>
      <c r="B16" s="15"/>
      <c r="C16" s="22">
        <f>+C8+C12</f>
        <v>2.174620649673006</v>
      </c>
      <c r="E16" s="19" t="s">
        <v>36</v>
      </c>
      <c r="F16" s="20">
        <f ca="1">NOW()+15018.5+$C$5/24</f>
        <v>59906.56237743055</v>
      </c>
    </row>
    <row r="17" spans="1:6" ht="13.5" thickBot="1">
      <c r="A17" s="19" t="s">
        <v>38</v>
      </c>
      <c r="B17" s="15"/>
      <c r="C17" s="15">
        <f>COUNT(C21:C2191)</f>
        <v>14</v>
      </c>
      <c r="E17" s="19" t="s">
        <v>48</v>
      </c>
      <c r="F17" s="20">
        <f>ROUND(2*(F16-$C$7)/$C$8,0)/2+F15</f>
        <v>7895</v>
      </c>
    </row>
    <row r="18" spans="1:6" ht="14.25" thickBot="1" thickTop="1">
      <c r="A18" s="21" t="s">
        <v>5</v>
      </c>
      <c r="B18" s="15"/>
      <c r="C18" s="24">
        <f>+C15</f>
        <v>56984.28385511141</v>
      </c>
      <c r="D18" s="25">
        <f>+C16</f>
        <v>2.174620649673006</v>
      </c>
      <c r="E18" s="19" t="s">
        <v>37</v>
      </c>
      <c r="F18" s="28">
        <f>ROUND(2*(F16-$C$15)/$C$16,0)/2+F15</f>
        <v>1345</v>
      </c>
    </row>
    <row r="19" spans="5:6" ht="13.5" thickTop="1">
      <c r="E19" s="19" t="s">
        <v>39</v>
      </c>
      <c r="F19" s="23">
        <f>+$C$15+$C$16*F18-15018.5-$C$5/24</f>
        <v>44891.04446225494</v>
      </c>
    </row>
    <row r="20" spans="1:21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28</v>
      </c>
      <c r="J20" s="9" t="s">
        <v>44</v>
      </c>
      <c r="K20" s="9" t="s">
        <v>45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  <c r="U20" s="55" t="s">
        <v>118</v>
      </c>
    </row>
    <row r="21" spans="1:21" ht="12.75">
      <c r="A21" t="s">
        <v>28</v>
      </c>
      <c r="C21" s="12">
        <v>28070.5064</v>
      </c>
      <c r="D21" s="13"/>
      <c r="E21">
        <f aca="true" t="shared" si="0" ref="E21:E34">+(C21-C$7)/C$8</f>
        <v>-6746.00531404654</v>
      </c>
      <c r="F21">
        <f aca="true" t="shared" si="1" ref="F21:F34">ROUND(2*E21,0)/2</f>
        <v>-6746</v>
      </c>
      <c r="O21">
        <f aca="true" t="shared" si="2" ref="O21:O34">+C$11+C$12*$F21</f>
        <v>0.00974105911931085</v>
      </c>
      <c r="Q21" s="2">
        <f aca="true" t="shared" si="3" ref="Q21:Q34">+C21-15018.5</f>
        <v>13052.006399999998</v>
      </c>
      <c r="U21">
        <f>+C21-(C$7+F21*C$8)</f>
        <v>-0.011556000001291977</v>
      </c>
    </row>
    <row r="22" spans="1:21" ht="12.75">
      <c r="A22" t="s">
        <v>12</v>
      </c>
      <c r="C22" s="13">
        <v>42740.464</v>
      </c>
      <c r="D22" s="13" t="s">
        <v>14</v>
      </c>
      <c r="E22">
        <f t="shared" si="0"/>
        <v>0</v>
      </c>
      <c r="F22">
        <f t="shared" si="1"/>
        <v>0</v>
      </c>
      <c r="O22">
        <f t="shared" si="2"/>
        <v>0.05459975321812496</v>
      </c>
      <c r="Q22" s="2">
        <f t="shared" si="3"/>
        <v>27721.964</v>
      </c>
      <c r="U22">
        <f>+C22-(C$7+F22*C$8)</f>
        <v>0</v>
      </c>
    </row>
    <row r="23" spans="1:17" ht="12.75">
      <c r="A23" s="53" t="s">
        <v>69</v>
      </c>
      <c r="B23" s="54" t="s">
        <v>42</v>
      </c>
      <c r="C23" s="53">
        <v>52193.596</v>
      </c>
      <c r="D23" s="13"/>
      <c r="E23">
        <f t="shared" si="0"/>
        <v>4347.039060725258</v>
      </c>
      <c r="F23">
        <f t="shared" si="1"/>
        <v>4347</v>
      </c>
      <c r="G23">
        <f aca="true" t="shared" si="4" ref="G23:G34">+C23-(C$7+F23*C$8)</f>
        <v>0.08494199999404373</v>
      </c>
      <c r="L23">
        <f>+G23</f>
        <v>0.08494199999404373</v>
      </c>
      <c r="O23">
        <f t="shared" si="2"/>
        <v>0.08350588177542484</v>
      </c>
      <c r="Q23" s="2">
        <f t="shared" si="3"/>
        <v>37175.096</v>
      </c>
    </row>
    <row r="24" spans="1:17" ht="12.75">
      <c r="A24" s="53" t="s">
        <v>72</v>
      </c>
      <c r="B24" s="54" t="s">
        <v>42</v>
      </c>
      <c r="C24" s="53">
        <v>52217.517</v>
      </c>
      <c r="D24" s="13"/>
      <c r="E24">
        <f t="shared" si="0"/>
        <v>4358.039173848784</v>
      </c>
      <c r="F24">
        <f t="shared" si="1"/>
        <v>4358</v>
      </c>
      <c r="G24">
        <f t="shared" si="4"/>
        <v>0.08518799999728799</v>
      </c>
      <c r="L24">
        <f>+G24</f>
        <v>0.08518799999728799</v>
      </c>
      <c r="O24">
        <f t="shared" si="2"/>
        <v>0.08357902817849139</v>
      </c>
      <c r="Q24" s="2">
        <f t="shared" si="3"/>
        <v>37199.017</v>
      </c>
    </row>
    <row r="25" spans="1:17" ht="12.75">
      <c r="A25" s="33" t="s">
        <v>49</v>
      </c>
      <c r="B25" s="34" t="s">
        <v>42</v>
      </c>
      <c r="C25" s="33">
        <v>52926.4399</v>
      </c>
      <c r="D25" s="33">
        <v>0.0001</v>
      </c>
      <c r="E25">
        <f t="shared" si="0"/>
        <v>4684.038592596202</v>
      </c>
      <c r="F25">
        <f t="shared" si="1"/>
        <v>4684</v>
      </c>
      <c r="G25">
        <f t="shared" si="4"/>
        <v>0.08392399999866029</v>
      </c>
      <c r="J25">
        <f>+G25</f>
        <v>0.08392399999866029</v>
      </c>
      <c r="O25">
        <f t="shared" si="2"/>
        <v>0.08574682157846372</v>
      </c>
      <c r="Q25" s="2">
        <f t="shared" si="3"/>
        <v>37907.9399</v>
      </c>
    </row>
    <row r="26" spans="1:17" ht="12.75">
      <c r="A26" s="35" t="s">
        <v>33</v>
      </c>
      <c r="B26" s="36"/>
      <c r="C26" s="32">
        <v>53387.4601</v>
      </c>
      <c r="D26" s="32">
        <v>0.0005</v>
      </c>
      <c r="E26">
        <f t="shared" si="0"/>
        <v>4896.039527014907</v>
      </c>
      <c r="F26">
        <f t="shared" si="1"/>
        <v>4896</v>
      </c>
      <c r="G26">
        <f t="shared" si="4"/>
        <v>0.08595599999534898</v>
      </c>
      <c r="J26">
        <f>+G26</f>
        <v>0.08595599999534898</v>
      </c>
      <c r="O26">
        <f t="shared" si="2"/>
        <v>0.08715655225574635</v>
      </c>
      <c r="Q26" s="2">
        <f t="shared" si="3"/>
        <v>38368.9601</v>
      </c>
    </row>
    <row r="27" spans="1:17" ht="12.75">
      <c r="A27" s="53" t="s">
        <v>91</v>
      </c>
      <c r="B27" s="54" t="s">
        <v>42</v>
      </c>
      <c r="C27" s="53">
        <v>53985.481</v>
      </c>
      <c r="D27" s="5"/>
      <c r="E27">
        <f t="shared" si="0"/>
        <v>5171.040469710946</v>
      </c>
      <c r="F27">
        <f t="shared" si="1"/>
        <v>5171</v>
      </c>
      <c r="G27">
        <f t="shared" si="4"/>
        <v>0.0880059999981313</v>
      </c>
      <c r="L27">
        <f>+G27</f>
        <v>0.0880059999981313</v>
      </c>
      <c r="O27">
        <f t="shared" si="2"/>
        <v>0.08898521233241014</v>
      </c>
      <c r="Q27" s="2">
        <f t="shared" si="3"/>
        <v>38966.981</v>
      </c>
    </row>
    <row r="28" spans="1:17" ht="12.75">
      <c r="A28" s="37" t="s">
        <v>43</v>
      </c>
      <c r="B28" s="31" t="s">
        <v>42</v>
      </c>
      <c r="C28" s="32">
        <v>53985.48101</v>
      </c>
      <c r="D28" s="32">
        <v>0.0002</v>
      </c>
      <c r="E28">
        <f t="shared" si="0"/>
        <v>5171.040474309465</v>
      </c>
      <c r="F28">
        <f t="shared" si="1"/>
        <v>5171</v>
      </c>
      <c r="G28">
        <f t="shared" si="4"/>
        <v>0.08801600000151666</v>
      </c>
      <c r="K28">
        <f>+G28</f>
        <v>0.08801600000151666</v>
      </c>
      <c r="O28">
        <f t="shared" si="2"/>
        <v>0.08898521233241014</v>
      </c>
      <c r="Q28" s="2">
        <f t="shared" si="3"/>
        <v>38966.98101</v>
      </c>
    </row>
    <row r="29" spans="1:17" ht="12.75">
      <c r="A29" s="32" t="s">
        <v>41</v>
      </c>
      <c r="B29" s="31" t="s">
        <v>42</v>
      </c>
      <c r="C29" s="32">
        <v>54774.8653</v>
      </c>
      <c r="D29" s="32">
        <v>0.0002</v>
      </c>
      <c r="E29">
        <f t="shared" si="0"/>
        <v>5534.040202077241</v>
      </c>
      <c r="F29">
        <f t="shared" si="1"/>
        <v>5534</v>
      </c>
      <c r="G29">
        <f t="shared" si="4"/>
        <v>0.08742399999755435</v>
      </c>
      <c r="J29">
        <f>+G29</f>
        <v>0.08742399999755435</v>
      </c>
      <c r="O29">
        <f t="shared" si="2"/>
        <v>0.09139904363360632</v>
      </c>
      <c r="Q29" s="2">
        <f t="shared" si="3"/>
        <v>39756.3653</v>
      </c>
    </row>
    <row r="30" spans="1:17" ht="12.75">
      <c r="A30" s="53" t="s">
        <v>91</v>
      </c>
      <c r="B30" s="54" t="s">
        <v>42</v>
      </c>
      <c r="C30" s="53">
        <v>54831.4127</v>
      </c>
      <c r="D30" s="5"/>
      <c r="E30">
        <f t="shared" si="0"/>
        <v>5560.043621534673</v>
      </c>
      <c r="F30">
        <f t="shared" si="1"/>
        <v>5560</v>
      </c>
      <c r="G30">
        <f t="shared" si="4"/>
        <v>0.0948599999974249</v>
      </c>
      <c r="L30">
        <f>+G30</f>
        <v>0.0948599999974249</v>
      </c>
      <c r="O30">
        <f t="shared" si="2"/>
        <v>0.09157193513176363</v>
      </c>
      <c r="Q30" s="2">
        <f t="shared" si="3"/>
        <v>39812.9127</v>
      </c>
    </row>
    <row r="31" spans="1:17" ht="12.75">
      <c r="A31" s="37" t="s">
        <v>43</v>
      </c>
      <c r="B31" s="31" t="s">
        <v>42</v>
      </c>
      <c r="C31" s="32">
        <v>54831.41279</v>
      </c>
      <c r="D31" s="32">
        <v>0.0002</v>
      </c>
      <c r="E31">
        <f t="shared" si="0"/>
        <v>5560.043662921328</v>
      </c>
      <c r="F31">
        <f t="shared" si="1"/>
        <v>5560</v>
      </c>
      <c r="G31">
        <f t="shared" si="4"/>
        <v>0.09494999999878928</v>
      </c>
      <c r="K31">
        <f>+G31</f>
        <v>0.09494999999878928</v>
      </c>
      <c r="O31">
        <f t="shared" si="2"/>
        <v>0.09157193513176363</v>
      </c>
      <c r="Q31" s="2">
        <f t="shared" si="3"/>
        <v>39812.91279</v>
      </c>
    </row>
    <row r="32" spans="1:17" ht="12.75">
      <c r="A32" s="33" t="s">
        <v>46</v>
      </c>
      <c r="B32" s="34" t="s">
        <v>42</v>
      </c>
      <c r="C32" s="33">
        <v>55135.8551</v>
      </c>
      <c r="D32" s="33">
        <v>0.0003</v>
      </c>
      <c r="E32">
        <f t="shared" si="0"/>
        <v>5700.04198446253</v>
      </c>
      <c r="F32">
        <f t="shared" si="1"/>
        <v>5700</v>
      </c>
      <c r="G32">
        <f t="shared" si="4"/>
        <v>0.09130000000004657</v>
      </c>
      <c r="J32">
        <f>+G32</f>
        <v>0.09130000000004657</v>
      </c>
      <c r="O32">
        <f t="shared" si="2"/>
        <v>0.09250288935261064</v>
      </c>
      <c r="Q32" s="2">
        <f t="shared" si="3"/>
        <v>40117.3551</v>
      </c>
    </row>
    <row r="33" spans="1:17" ht="12.75">
      <c r="A33" s="33" t="s">
        <v>50</v>
      </c>
      <c r="B33" s="34" t="s">
        <v>42</v>
      </c>
      <c r="C33" s="33">
        <v>55883.9255</v>
      </c>
      <c r="D33" s="33">
        <v>0.0004</v>
      </c>
      <c r="E33">
        <f t="shared" si="0"/>
        <v>6044.043448630422</v>
      </c>
      <c r="F33">
        <f t="shared" si="1"/>
        <v>6044</v>
      </c>
      <c r="G33">
        <f t="shared" si="4"/>
        <v>0.09448400000110269</v>
      </c>
      <c r="J33">
        <f>+G33</f>
        <v>0.09448400000110269</v>
      </c>
      <c r="O33">
        <f t="shared" si="2"/>
        <v>0.0947903768666919</v>
      </c>
      <c r="Q33" s="2">
        <f t="shared" si="3"/>
        <v>40865.4255</v>
      </c>
    </row>
    <row r="34" spans="1:17" ht="12.75">
      <c r="A34" s="38" t="s">
        <v>51</v>
      </c>
      <c r="B34" s="39"/>
      <c r="C34" s="38">
        <v>56984.2846</v>
      </c>
      <c r="D34" s="38">
        <v>0.0003</v>
      </c>
      <c r="E34">
        <f t="shared" si="0"/>
        <v>6550.045479335642</v>
      </c>
      <c r="F34">
        <f t="shared" si="1"/>
        <v>6550</v>
      </c>
      <c r="G34">
        <f t="shared" si="4"/>
        <v>0.09889999999722932</v>
      </c>
      <c r="J34">
        <f>+G34</f>
        <v>0.09889999999722932</v>
      </c>
      <c r="O34">
        <f t="shared" si="2"/>
        <v>0.09815511140775325</v>
      </c>
      <c r="Q34" s="2">
        <f t="shared" si="3"/>
        <v>41965.7846</v>
      </c>
    </row>
    <row r="35" spans="2:4" ht="12.75">
      <c r="B35" s="5"/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8"/>
  <sheetViews>
    <sheetView zoomScalePageLayoutView="0" workbookViewId="0" topLeftCell="A1">
      <selection activeCell="A17" sqref="A17:C20"/>
    </sheetView>
  </sheetViews>
  <sheetFormatPr defaultColWidth="9.140625" defaultRowHeight="12.75"/>
  <cols>
    <col min="1" max="1" width="19.7109375" style="13" customWidth="1"/>
    <col min="2" max="2" width="4.421875" style="15" customWidth="1"/>
    <col min="3" max="3" width="12.7109375" style="13" customWidth="1"/>
    <col min="4" max="4" width="5.421875" style="15" customWidth="1"/>
    <col min="5" max="5" width="14.8515625" style="15" customWidth="1"/>
    <col min="6" max="6" width="9.140625" style="15" customWidth="1"/>
    <col min="7" max="7" width="12.00390625" style="15" customWidth="1"/>
    <col min="8" max="8" width="14.140625" style="13" customWidth="1"/>
    <col min="9" max="9" width="22.5742187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421875" style="15" customWidth="1"/>
    <col min="14" max="14" width="14.140625" style="15" customWidth="1"/>
    <col min="15" max="15" width="23.421875" style="15" customWidth="1"/>
    <col min="16" max="16" width="16.57421875" style="15" customWidth="1"/>
    <col min="17" max="17" width="41.00390625" style="15" customWidth="1"/>
    <col min="18" max="16384" width="9.140625" style="15" customWidth="1"/>
  </cols>
  <sheetData>
    <row r="1" spans="1:10" ht="15.75">
      <c r="A1" s="40" t="s">
        <v>52</v>
      </c>
      <c r="I1" s="41" t="s">
        <v>53</v>
      </c>
      <c r="J1" s="42" t="s">
        <v>54</v>
      </c>
    </row>
    <row r="2" spans="9:10" ht="12.75">
      <c r="I2" s="43" t="s">
        <v>55</v>
      </c>
      <c r="J2" s="44" t="s">
        <v>56</v>
      </c>
    </row>
    <row r="3" spans="1:10" ht="12.75">
      <c r="A3" s="45" t="s">
        <v>57</v>
      </c>
      <c r="I3" s="43" t="s">
        <v>58</v>
      </c>
      <c r="J3" s="44" t="s">
        <v>59</v>
      </c>
    </row>
    <row r="4" spans="9:10" ht="12.75">
      <c r="I4" s="43" t="s">
        <v>60</v>
      </c>
      <c r="J4" s="44" t="s">
        <v>59</v>
      </c>
    </row>
    <row r="5" spans="9:10" ht="13.5" thickBot="1">
      <c r="I5" s="46" t="s">
        <v>61</v>
      </c>
      <c r="J5" s="47" t="s">
        <v>62</v>
      </c>
    </row>
    <row r="10" ht="13.5" thickBot="1"/>
    <row r="11" spans="1:16" ht="12.75" customHeight="1" thickBot="1">
      <c r="A11" s="13" t="str">
        <f aca="true" t="shared" si="0" ref="A11:A20">P11</f>
        <v>IBVS 5676 </v>
      </c>
      <c r="B11" s="5" t="str">
        <f aca="true" t="shared" si="1" ref="B11:B20">IF(H11=INT(H11),"I","II")</f>
        <v>I</v>
      </c>
      <c r="C11" s="13">
        <f aca="true" t="shared" si="2" ref="C11:C20">1*G11</f>
        <v>52926.4399</v>
      </c>
      <c r="D11" s="15" t="str">
        <f aca="true" t="shared" si="3" ref="D11:D20">VLOOKUP(F11,I$1:J$5,2,FALSE)</f>
        <v>vis</v>
      </c>
      <c r="E11" s="48">
        <f>VLOOKUP(C11,A!C$21:E$973,3,FALSE)</f>
        <v>4684.038592596202</v>
      </c>
      <c r="F11" s="5" t="s">
        <v>61</v>
      </c>
      <c r="G11" s="15" t="str">
        <f aca="true" t="shared" si="4" ref="G11:G20">MID(I11,3,LEN(I11)-3)</f>
        <v>52926.4399</v>
      </c>
      <c r="H11" s="13">
        <f aca="true" t="shared" si="5" ref="H11:H20">1*K11</f>
        <v>4684</v>
      </c>
      <c r="I11" s="49" t="s">
        <v>73</v>
      </c>
      <c r="J11" s="50" t="s">
        <v>74</v>
      </c>
      <c r="K11" s="49">
        <v>4684</v>
      </c>
      <c r="L11" s="49" t="s">
        <v>75</v>
      </c>
      <c r="M11" s="50" t="s">
        <v>66</v>
      </c>
      <c r="N11" s="50" t="s">
        <v>67</v>
      </c>
      <c r="O11" s="51" t="s">
        <v>76</v>
      </c>
      <c r="P11" s="52" t="s">
        <v>77</v>
      </c>
    </row>
    <row r="12" spans="1:16" ht="12.75" customHeight="1" thickBot="1">
      <c r="A12" s="13" t="str">
        <f t="shared" si="0"/>
        <v>BAVM 173 </v>
      </c>
      <c r="B12" s="5" t="str">
        <f t="shared" si="1"/>
        <v>I</v>
      </c>
      <c r="C12" s="13">
        <f t="shared" si="2"/>
        <v>53387.4601</v>
      </c>
      <c r="D12" s="15" t="str">
        <f t="shared" si="3"/>
        <v>vis</v>
      </c>
      <c r="E12" s="48">
        <f>VLOOKUP(C12,A!C$21:E$973,3,FALSE)</f>
        <v>4896.039527014907</v>
      </c>
      <c r="F12" s="5" t="s">
        <v>61</v>
      </c>
      <c r="G12" s="15" t="str">
        <f t="shared" si="4"/>
        <v>53387.4601</v>
      </c>
      <c r="H12" s="13">
        <f t="shared" si="5"/>
        <v>4896</v>
      </c>
      <c r="I12" s="49" t="s">
        <v>78</v>
      </c>
      <c r="J12" s="50" t="s">
        <v>79</v>
      </c>
      <c r="K12" s="49">
        <v>4896</v>
      </c>
      <c r="L12" s="49" t="s">
        <v>80</v>
      </c>
      <c r="M12" s="50" t="s">
        <v>66</v>
      </c>
      <c r="N12" s="50" t="s">
        <v>81</v>
      </c>
      <c r="O12" s="51" t="s">
        <v>82</v>
      </c>
      <c r="P12" s="52" t="s">
        <v>83</v>
      </c>
    </row>
    <row r="13" spans="1:16" ht="12.75" customHeight="1" thickBot="1">
      <c r="A13" s="13" t="str">
        <f t="shared" si="0"/>
        <v>IBVS 5871 </v>
      </c>
      <c r="B13" s="5" t="str">
        <f t="shared" si="1"/>
        <v>I</v>
      </c>
      <c r="C13" s="13">
        <f t="shared" si="2"/>
        <v>54774.8653</v>
      </c>
      <c r="D13" s="15" t="str">
        <f t="shared" si="3"/>
        <v>vis</v>
      </c>
      <c r="E13" s="48">
        <f>VLOOKUP(C13,A!C$21:E$973,3,FALSE)</f>
        <v>5534.040202077241</v>
      </c>
      <c r="F13" s="5" t="s">
        <v>61</v>
      </c>
      <c r="G13" s="15" t="str">
        <f t="shared" si="4"/>
        <v>54774.8653</v>
      </c>
      <c r="H13" s="13">
        <f t="shared" si="5"/>
        <v>5534</v>
      </c>
      <c r="I13" s="49" t="s">
        <v>92</v>
      </c>
      <c r="J13" s="50" t="s">
        <v>93</v>
      </c>
      <c r="K13" s="49" t="s">
        <v>94</v>
      </c>
      <c r="L13" s="49" t="s">
        <v>95</v>
      </c>
      <c r="M13" s="50" t="s">
        <v>88</v>
      </c>
      <c r="N13" s="50" t="s">
        <v>61</v>
      </c>
      <c r="O13" s="51" t="s">
        <v>68</v>
      </c>
      <c r="P13" s="52" t="s">
        <v>96</v>
      </c>
    </row>
    <row r="14" spans="1:16" ht="12.75" customHeight="1" thickBot="1">
      <c r="A14" s="13" t="str">
        <f t="shared" si="0"/>
        <v>IBVS 5920 </v>
      </c>
      <c r="B14" s="5" t="str">
        <f t="shared" si="1"/>
        <v>I</v>
      </c>
      <c r="C14" s="13">
        <f t="shared" si="2"/>
        <v>55135.8551</v>
      </c>
      <c r="D14" s="15" t="str">
        <f t="shared" si="3"/>
        <v>vis</v>
      </c>
      <c r="E14" s="48">
        <f>VLOOKUP(C14,A!C$21:E$973,3,FALSE)</f>
        <v>5700.04198446253</v>
      </c>
      <c r="F14" s="5" t="s">
        <v>61</v>
      </c>
      <c r="G14" s="15" t="str">
        <f t="shared" si="4"/>
        <v>55135.8551</v>
      </c>
      <c r="H14" s="13">
        <f t="shared" si="5"/>
        <v>5700</v>
      </c>
      <c r="I14" s="49" t="s">
        <v>101</v>
      </c>
      <c r="J14" s="50" t="s">
        <v>102</v>
      </c>
      <c r="K14" s="49" t="s">
        <v>103</v>
      </c>
      <c r="L14" s="49" t="s">
        <v>104</v>
      </c>
      <c r="M14" s="50" t="s">
        <v>88</v>
      </c>
      <c r="N14" s="50" t="s">
        <v>61</v>
      </c>
      <c r="O14" s="51" t="s">
        <v>68</v>
      </c>
      <c r="P14" s="52" t="s">
        <v>105</v>
      </c>
    </row>
    <row r="15" spans="1:16" ht="12.75" customHeight="1" thickBot="1">
      <c r="A15" s="13" t="str">
        <f t="shared" si="0"/>
        <v>IBVS 6011 </v>
      </c>
      <c r="B15" s="5" t="str">
        <f t="shared" si="1"/>
        <v>I</v>
      </c>
      <c r="C15" s="13">
        <f t="shared" si="2"/>
        <v>55883.9255</v>
      </c>
      <c r="D15" s="15" t="str">
        <f t="shared" si="3"/>
        <v>vis</v>
      </c>
      <c r="E15" s="48">
        <f>VLOOKUP(C15,A!C$21:E$973,3,FALSE)</f>
        <v>6044.043448630422</v>
      </c>
      <c r="F15" s="5" t="s">
        <v>61</v>
      </c>
      <c r="G15" s="15" t="str">
        <f t="shared" si="4"/>
        <v>55883.9255</v>
      </c>
      <c r="H15" s="13">
        <f t="shared" si="5"/>
        <v>6044</v>
      </c>
      <c r="I15" s="49" t="s">
        <v>106</v>
      </c>
      <c r="J15" s="50" t="s">
        <v>107</v>
      </c>
      <c r="K15" s="49" t="s">
        <v>108</v>
      </c>
      <c r="L15" s="49" t="s">
        <v>109</v>
      </c>
      <c r="M15" s="50" t="s">
        <v>88</v>
      </c>
      <c r="N15" s="50" t="s">
        <v>61</v>
      </c>
      <c r="O15" s="51" t="s">
        <v>68</v>
      </c>
      <c r="P15" s="52" t="s">
        <v>110</v>
      </c>
    </row>
    <row r="16" spans="1:16" ht="12.75" customHeight="1" thickBot="1">
      <c r="A16" s="13" t="str">
        <f t="shared" si="0"/>
        <v>BAVM 239 </v>
      </c>
      <c r="B16" s="5" t="str">
        <f t="shared" si="1"/>
        <v>I</v>
      </c>
      <c r="C16" s="13">
        <f t="shared" si="2"/>
        <v>56984.2846</v>
      </c>
      <c r="D16" s="15" t="str">
        <f t="shared" si="3"/>
        <v>vis</v>
      </c>
      <c r="E16" s="48">
        <f>VLOOKUP(C16,A!C$21:E$973,3,FALSE)</f>
        <v>6550.045479335642</v>
      </c>
      <c r="F16" s="5" t="s">
        <v>61</v>
      </c>
      <c r="G16" s="15" t="str">
        <f t="shared" si="4"/>
        <v>56984.2846</v>
      </c>
      <c r="H16" s="13">
        <f t="shared" si="5"/>
        <v>6550</v>
      </c>
      <c r="I16" s="49" t="s">
        <v>111</v>
      </c>
      <c r="J16" s="50" t="s">
        <v>112</v>
      </c>
      <c r="K16" s="49" t="s">
        <v>113</v>
      </c>
      <c r="L16" s="49" t="s">
        <v>114</v>
      </c>
      <c r="M16" s="50" t="s">
        <v>88</v>
      </c>
      <c r="N16" s="50" t="s">
        <v>115</v>
      </c>
      <c r="O16" s="51" t="s">
        <v>116</v>
      </c>
      <c r="P16" s="52" t="s">
        <v>117</v>
      </c>
    </row>
    <row r="17" spans="1:16" ht="12.75" customHeight="1" thickBot="1">
      <c r="A17" s="13" t="str">
        <f t="shared" si="0"/>
        <v> BBS 126 </v>
      </c>
      <c r="B17" s="5" t="str">
        <f t="shared" si="1"/>
        <v>I</v>
      </c>
      <c r="C17" s="13">
        <f t="shared" si="2"/>
        <v>52193.596</v>
      </c>
      <c r="D17" s="15" t="str">
        <f t="shared" si="3"/>
        <v>vis</v>
      </c>
      <c r="E17" s="48">
        <f>VLOOKUP(C17,A!C$21:E$973,3,FALSE)</f>
        <v>4347.039060725258</v>
      </c>
      <c r="F17" s="5" t="s">
        <v>61</v>
      </c>
      <c r="G17" s="15" t="str">
        <f t="shared" si="4"/>
        <v>52193.596</v>
      </c>
      <c r="H17" s="13">
        <f t="shared" si="5"/>
        <v>4347</v>
      </c>
      <c r="I17" s="49" t="s">
        <v>63</v>
      </c>
      <c r="J17" s="50" t="s">
        <v>64</v>
      </c>
      <c r="K17" s="49">
        <v>4347</v>
      </c>
      <c r="L17" s="49" t="s">
        <v>65</v>
      </c>
      <c r="M17" s="50" t="s">
        <v>66</v>
      </c>
      <c r="N17" s="50" t="s">
        <v>67</v>
      </c>
      <c r="O17" s="51" t="s">
        <v>68</v>
      </c>
      <c r="P17" s="51" t="s">
        <v>69</v>
      </c>
    </row>
    <row r="18" spans="1:16" ht="12.75" customHeight="1" thickBot="1">
      <c r="A18" s="13" t="str">
        <f t="shared" si="0"/>
        <v> BBS 127 </v>
      </c>
      <c r="B18" s="5" t="str">
        <f t="shared" si="1"/>
        <v>I</v>
      </c>
      <c r="C18" s="13">
        <f t="shared" si="2"/>
        <v>52217.517</v>
      </c>
      <c r="D18" s="15" t="str">
        <f t="shared" si="3"/>
        <v>vis</v>
      </c>
      <c r="E18" s="48">
        <f>VLOOKUP(C18,A!C$21:E$973,3,FALSE)</f>
        <v>4358.039173848784</v>
      </c>
      <c r="F18" s="5" t="s">
        <v>61</v>
      </c>
      <c r="G18" s="15" t="str">
        <f t="shared" si="4"/>
        <v>52217.517</v>
      </c>
      <c r="H18" s="13">
        <f t="shared" si="5"/>
        <v>4358</v>
      </c>
      <c r="I18" s="49" t="s">
        <v>70</v>
      </c>
      <c r="J18" s="50" t="s">
        <v>71</v>
      </c>
      <c r="K18" s="49">
        <v>4358</v>
      </c>
      <c r="L18" s="49" t="s">
        <v>65</v>
      </c>
      <c r="M18" s="50" t="s">
        <v>66</v>
      </c>
      <c r="N18" s="50" t="s">
        <v>67</v>
      </c>
      <c r="O18" s="51" t="s">
        <v>68</v>
      </c>
      <c r="P18" s="51" t="s">
        <v>72</v>
      </c>
    </row>
    <row r="19" spans="1:16" ht="12.75" customHeight="1" thickBot="1">
      <c r="A19" s="13" t="str">
        <f t="shared" si="0"/>
        <v>OEJV 0107 </v>
      </c>
      <c r="B19" s="5" t="str">
        <f t="shared" si="1"/>
        <v>I</v>
      </c>
      <c r="C19" s="13">
        <f t="shared" si="2"/>
        <v>53985.481</v>
      </c>
      <c r="D19" s="15" t="str">
        <f t="shared" si="3"/>
        <v>vis</v>
      </c>
      <c r="E19" s="48">
        <f>VLOOKUP(C19,A!C$21:E$973,3,FALSE)</f>
        <v>5171.040469710946</v>
      </c>
      <c r="F19" s="5" t="s">
        <v>61</v>
      </c>
      <c r="G19" s="15" t="str">
        <f t="shared" si="4"/>
        <v>53985.4810</v>
      </c>
      <c r="H19" s="13">
        <f t="shared" si="5"/>
        <v>5171</v>
      </c>
      <c r="I19" s="49" t="s">
        <v>84</v>
      </c>
      <c r="J19" s="50" t="s">
        <v>85</v>
      </c>
      <c r="K19" s="49" t="s">
        <v>86</v>
      </c>
      <c r="L19" s="49" t="s">
        <v>87</v>
      </c>
      <c r="M19" s="50" t="s">
        <v>88</v>
      </c>
      <c r="N19" s="50" t="s">
        <v>89</v>
      </c>
      <c r="O19" s="51" t="s">
        <v>90</v>
      </c>
      <c r="P19" s="52" t="s">
        <v>91</v>
      </c>
    </row>
    <row r="20" spans="1:16" ht="12.75" customHeight="1" thickBot="1">
      <c r="A20" s="13" t="str">
        <f t="shared" si="0"/>
        <v>OEJV 0107 </v>
      </c>
      <c r="B20" s="5" t="str">
        <f t="shared" si="1"/>
        <v>I</v>
      </c>
      <c r="C20" s="13">
        <f t="shared" si="2"/>
        <v>54831.4127</v>
      </c>
      <c r="D20" s="15" t="str">
        <f t="shared" si="3"/>
        <v>vis</v>
      </c>
      <c r="E20" s="48">
        <f>VLOOKUP(C20,A!C$21:E$973,3,FALSE)</f>
        <v>5560.043621534673</v>
      </c>
      <c r="F20" s="5" t="s">
        <v>61</v>
      </c>
      <c r="G20" s="15" t="str">
        <f t="shared" si="4"/>
        <v>54831.4127</v>
      </c>
      <c r="H20" s="13">
        <f t="shared" si="5"/>
        <v>5560</v>
      </c>
      <c r="I20" s="49" t="s">
        <v>97</v>
      </c>
      <c r="J20" s="50" t="s">
        <v>98</v>
      </c>
      <c r="K20" s="49" t="s">
        <v>99</v>
      </c>
      <c r="L20" s="49" t="s">
        <v>100</v>
      </c>
      <c r="M20" s="50" t="s">
        <v>88</v>
      </c>
      <c r="N20" s="50" t="s">
        <v>89</v>
      </c>
      <c r="O20" s="51" t="s">
        <v>90</v>
      </c>
      <c r="P20" s="52" t="s">
        <v>91</v>
      </c>
    </row>
    <row r="21" spans="2:6" ht="12.75">
      <c r="B21" s="5"/>
      <c r="E21" s="48"/>
      <c r="F21" s="5"/>
    </row>
    <row r="22" spans="2:6" ht="12.75">
      <c r="B22" s="5"/>
      <c r="E22" s="48"/>
      <c r="F22" s="5"/>
    </row>
    <row r="23" spans="2:6" ht="12.75">
      <c r="B23" s="5"/>
      <c r="E23" s="48"/>
      <c r="F23" s="5"/>
    </row>
    <row r="24" spans="2:6" ht="12.75">
      <c r="B24" s="5"/>
      <c r="E24" s="48"/>
      <c r="F24" s="5"/>
    </row>
    <row r="25" spans="2:6" ht="12.75">
      <c r="B25" s="5"/>
      <c r="E25" s="48"/>
      <c r="F25" s="5"/>
    </row>
    <row r="26" spans="2:6" ht="12.75">
      <c r="B26" s="5"/>
      <c r="E26" s="48"/>
      <c r="F26" s="5"/>
    </row>
    <row r="27" spans="2:6" ht="12.75">
      <c r="B27" s="5"/>
      <c r="E27" s="48"/>
      <c r="F27" s="5"/>
    </row>
    <row r="28" spans="2:6" ht="12.75">
      <c r="B28" s="5"/>
      <c r="E28" s="48"/>
      <c r="F28" s="5"/>
    </row>
    <row r="29" spans="2:6" ht="12.75">
      <c r="B29" s="5"/>
      <c r="E29" s="48"/>
      <c r="F29" s="5"/>
    </row>
    <row r="30" spans="2:6" ht="12.75">
      <c r="B30" s="5"/>
      <c r="E30" s="48"/>
      <c r="F30" s="5"/>
    </row>
    <row r="31" spans="2:6" ht="12.75">
      <c r="B31" s="5"/>
      <c r="F31" s="5"/>
    </row>
    <row r="32" spans="2:6" ht="12.75">
      <c r="B32" s="5"/>
      <c r="F32" s="5"/>
    </row>
    <row r="33" spans="2:6" ht="12.75">
      <c r="B33" s="5"/>
      <c r="F33" s="5"/>
    </row>
    <row r="34" spans="2:6" ht="12.75">
      <c r="B34" s="5"/>
      <c r="F34" s="5"/>
    </row>
    <row r="35" spans="2:6" ht="12.75">
      <c r="B35" s="5"/>
      <c r="F35" s="5"/>
    </row>
    <row r="36" spans="2:6" ht="12.75">
      <c r="B36" s="5"/>
      <c r="F36" s="5"/>
    </row>
    <row r="37" spans="2:6" ht="12.75">
      <c r="B37" s="5"/>
      <c r="F37" s="5"/>
    </row>
    <row r="38" spans="2:6" ht="12.75">
      <c r="B38" s="5"/>
      <c r="F38" s="5"/>
    </row>
    <row r="39" spans="2:6" ht="12.75">
      <c r="B39" s="5"/>
      <c r="F39" s="5"/>
    </row>
    <row r="40" spans="2:6" ht="12.75">
      <c r="B40" s="5"/>
      <c r="F40" s="5"/>
    </row>
    <row r="41" spans="2:6" ht="12.75">
      <c r="B41" s="5"/>
      <c r="F41" s="5"/>
    </row>
    <row r="42" spans="2:6" ht="12.75">
      <c r="B42" s="5"/>
      <c r="F42" s="5"/>
    </row>
    <row r="43" spans="2:6" ht="12.75">
      <c r="B43" s="5"/>
      <c r="F43" s="5"/>
    </row>
    <row r="44" spans="2:6" ht="12.75">
      <c r="B44" s="5"/>
      <c r="F44" s="5"/>
    </row>
    <row r="45" spans="2:6" ht="12.75">
      <c r="B45" s="5"/>
      <c r="F45" s="5"/>
    </row>
    <row r="46" spans="2:6" ht="12.75">
      <c r="B46" s="5"/>
      <c r="F46" s="5"/>
    </row>
    <row r="47" spans="2:6" ht="12.75">
      <c r="B47" s="5"/>
      <c r="F47" s="5"/>
    </row>
    <row r="48" spans="2:6" ht="12.75">
      <c r="B48" s="5"/>
      <c r="F48" s="5"/>
    </row>
    <row r="49" spans="2:6" ht="12.75">
      <c r="B49" s="5"/>
      <c r="F49" s="5"/>
    </row>
    <row r="50" spans="2:6" ht="12.75">
      <c r="B50" s="5"/>
      <c r="F50" s="5"/>
    </row>
    <row r="51" spans="2:6" ht="12.75">
      <c r="B51" s="5"/>
      <c r="F51" s="5"/>
    </row>
    <row r="52" spans="2:6" ht="12.75">
      <c r="B52" s="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</sheetData>
  <sheetProtection/>
  <hyperlinks>
    <hyperlink ref="P11" r:id="rId1" display="http://www.konkoly.hu/cgi-bin/IBVS?5676"/>
    <hyperlink ref="P12" r:id="rId2" display="http://www.bav-astro.de/sfs/BAVM_link.php?BAVMnr=173"/>
    <hyperlink ref="P19" r:id="rId3" display="http://var.astro.cz/oejv/issues/oejv0107.pdf"/>
    <hyperlink ref="P13" r:id="rId4" display="http://www.konkoly.hu/cgi-bin/IBVS?5871"/>
    <hyperlink ref="P20" r:id="rId5" display="http://var.astro.cz/oejv/issues/oejv0107.pdf"/>
    <hyperlink ref="P14" r:id="rId6" display="http://www.konkoly.hu/cgi-bin/IBVS?5920"/>
    <hyperlink ref="P15" r:id="rId7" display="http://www.konkoly.hu/cgi-bin/IBVS?6011"/>
    <hyperlink ref="P16" r:id="rId8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2022-11-23T00:29:49Z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