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6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<sst xmlns="http://schemas.openxmlformats.org/spreadsheetml/2006/main" count="142" uniqueCount="101">
  <si>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</si>
  <si>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</si>
  <si>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</si>
  <si>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</si>
  <si>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</si>
  <si>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</si>
  <si>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</si>
  <si>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</si>
  <si>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</si>
  <si>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</si>
  <si>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</si>
  <si>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</si>
  <si>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</si>
  <si>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</si>
  <si>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</si>
  <si>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</si>
  <si>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</si>
  <si>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</si>
  <si>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</si>
  <si>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</si>
  <si>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</si>
  <si>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</si>
  <si>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</si>
  <si>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</si>
  <si>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</si>
  <si>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</si>
  <si>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</si>
  <si>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</si>
  <si>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</si>
  <si>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</si>
  <si>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EW/KE:</t>
  </si>
  <si>
    <t>IBVS 5287</t>
  </si>
  <si>
    <t>I</t>
  </si>
  <si>
    <t>ROTSE</t>
  </si>
  <si>
    <t>II</t>
  </si>
  <si>
    <t>Krajci</t>
  </si>
  <si>
    <t>V434 Per / GSC 02865-01811</t>
  </si>
  <si>
    <t>IBVS 5690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</si>
  <si>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</si>
  <si>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</si>
  <si>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</si>
  <si>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</si>
  <si>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</si>
  <si>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</si>
  <si>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</si>
  <si>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5871</t>
  </si>
  <si>
    <t>IBVS 5920</t>
  </si>
  <si>
    <t>Add cycle</t>
  </si>
  <si>
    <t>Old Cycle</t>
  </si>
  <si>
    <t>IBVS 5960</t>
  </si>
  <si>
    <t>IBVS 6011</t>
  </si>
  <si>
    <t>IBVS 6042</t>
  </si>
  <si>
    <t>ROTSE data show primary about 0.1 magnitude deeper than secondary.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</si>
  <si>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</si>
  <si>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</si>
  <si>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</si>
  <si>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</si>
  <si>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</si>
  <si>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</si>
  <si>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</si>
  <si>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</si>
  <si>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</si>
  <si>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</si>
  <si>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</si>
  <si>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2451626.3446 </t>
  </si>
  <si>
    <t> 22.03.2000 20:16 </t>
  </si>
  <si>
    <t> 0.1264 </t>
  </si>
  <si>
    <t>E </t>
  </si>
  <si>
    <t>?</t>
  </si>
  <si>
    <t> M.Zejda </t>
  </si>
  <si>
    <t>IBVS 5287 </t>
  </si>
  <si>
    <t>2453297.9262 </t>
  </si>
  <si>
    <t> 19.10.2004 10:13 </t>
  </si>
  <si>
    <t> 0.1544 </t>
  </si>
  <si>
    <t> T. Krajci </t>
  </si>
  <si>
    <t>IBVS 5690 </t>
  </si>
  <si>
    <t>2453301.9482 </t>
  </si>
  <si>
    <t> 23.10.2004 10:45 </t>
  </si>
  <si>
    <t> -0.1124 </t>
  </si>
  <si>
    <t>2454831.7322 </t>
  </si>
  <si>
    <t> 31.12.2008 05:34 </t>
  </si>
  <si>
    <t> -0.0840 </t>
  </si>
  <si>
    <t>C </t>
  </si>
  <si>
    <t> R.Diethelm </t>
  </si>
  <si>
    <t>IBVS 5871 </t>
  </si>
  <si>
    <t>2455197.6269 </t>
  </si>
  <si>
    <t> 01.01.2010 03:02 </t>
  </si>
  <si>
    <t> -0.0762 </t>
  </si>
  <si>
    <t>IBVS 5920 </t>
  </si>
  <si>
    <t>2455497.8428 </t>
  </si>
  <si>
    <t> 28.10.2010 08:13 </t>
  </si>
  <si>
    <t> -0.0752 </t>
  </si>
  <si>
    <t>IBVS 5960 </t>
  </si>
  <si>
    <t>2455858.9103 </t>
  </si>
  <si>
    <t> 24.10.2011 09:50 </t>
  </si>
  <si>
    <t> -0.0697 </t>
  </si>
  <si>
    <t>IBVS 6011 </t>
  </si>
  <si>
    <t>2456233.9215 </t>
  </si>
  <si>
    <t> 02.11.2012 10:06 </t>
  </si>
  <si>
    <t> -0.0590 </t>
  </si>
  <si>
    <t>IBVS 6042 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</si>
</sst>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V434 Per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2914526"/>
        <c:axId val="6468687"/>
      </c:scatterChart>
      <c:val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crossBetween val="midCat"/>
        <c:dispUnits/>
      </c:valAx>
      <c:valAx>
        <c:axId val="6468687"/>
        <c:scaling>
          <c:orientation val="minMax"/>
          <c:max val="-0.1"/>
          <c:min val="-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3075"/>
          <c:w val="0.791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V434 Per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0.0044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0.0005</c:v>
                  </c:pt>
                  <c:pt idx="7">
                    <c:v>0.0008</c:v>
                  </c:pt>
                  <c:pt idx="8">
                    <c:v>0.0024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8218184"/>
        <c:axId val="54201609"/>
      </c:scatterChart>
      <c:val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crossBetween val="midCat"/>
        <c:dispUnits/>
      </c:val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931"/>
          <c:w val="0.790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15</xdr:col>
      <xdr:colOff>257175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790950" y="28575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9944100" y="0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konkoly.hu/cgi-bin/IBVS?5690" TargetMode="External" /><Relationship Id="rId4" Type="http://schemas.openxmlformats.org/officeDocument/2006/relationships/hyperlink" Target="http://www.konkoly.hu/cgi-bin/IBVS?5871" TargetMode="External" /><Relationship Id="rId5" Type="http://schemas.openxmlformats.org/officeDocument/2006/relationships/hyperlink" Target="http://www.konkoly.hu/cgi-bin/IBVS?5920" TargetMode="External" /><Relationship Id="rId6" Type="http://schemas.openxmlformats.org/officeDocument/2006/relationships/hyperlink" Target="http://www.konkoly.hu/cgi-bin/IBVS?5960" TargetMode="External" /><Relationship Id="rId7" Type="http://schemas.openxmlformats.org/officeDocument/2006/relationships/hyperlink" Target="http://www.konkoly.hu/cgi-bin/IBVS?6011" TargetMode="External" /><Relationship Id="rId8" Type="http://schemas.openxmlformats.org/officeDocument/2006/relationships/hyperlink" Target="http://www.konkoly.hu/cgi-bin/IBVS?60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36</v>
      </c>
      <c r="B1" s="1"/>
      <c r="C1" s="8"/>
    </row>
    <row r="2" spans="1:2" ht="12.75">
      <c r="A2" t="s">
        <v>24</v>
      </c>
      <c r="B2" t="s">
        <v>30</v>
      </c>
    </row>
    <row r="3" ht="13.5" thickBot="1">
      <c r="C3" s="9" t="s">
        <v>52</v>
      </c>
    </row>
    <row r="4" spans="1:4" ht="14.25" thickBot="1" thickTop="1">
      <c r="A4" s="5" t="s">
        <v>0</v>
      </c>
      <c r="B4" s="5"/>
      <c r="C4" s="10">
        <v>38709.473</v>
      </c>
      <c r="D4" s="11">
        <v>0.536098</v>
      </c>
    </row>
    <row r="6" spans="1:2" ht="12.75">
      <c r="A6" s="5" t="s">
        <v>1</v>
      </c>
      <c r="B6" s="5"/>
    </row>
    <row r="7" spans="1:3" ht="12.75">
      <c r="A7" t="s">
        <v>2</v>
      </c>
      <c r="C7" s="8">
        <f>C4</f>
        <v>38709.473</v>
      </c>
    </row>
    <row r="8" spans="1:3" ht="12.75">
      <c r="A8" t="s">
        <v>3</v>
      </c>
      <c r="C8" s="12">
        <v>0.536108225</v>
      </c>
    </row>
    <row r="9" spans="1:5" ht="12.75">
      <c r="A9" s="18" t="s">
        <v>38</v>
      </c>
      <c r="B9" s="19"/>
      <c r="C9" s="20">
        <v>-9.5</v>
      </c>
      <c r="D9" s="19" t="s">
        <v>39</v>
      </c>
      <c r="E9" s="19"/>
    </row>
    <row r="10" spans="1:5" ht="13.5" thickBot="1">
      <c r="A10" s="19"/>
      <c r="B10" s="19"/>
      <c r="C10" s="4" t="s">
        <v>20</v>
      </c>
      <c r="D10" s="4" t="s">
        <v>21</v>
      </c>
      <c r="E10" s="19"/>
    </row>
    <row r="11" spans="1:7" ht="12.75">
      <c r="A11" s="19" t="s">
        <v>16</v>
      </c>
      <c r="B11" s="19"/>
      <c r="C11" s="31">
        <f ca="1">INTERCEPT(INDIRECT($G$11):G992,INDIRECT($F$11):F992)</f>
        <v>-0.11727240095395092</v>
      </c>
      <c r="D11" s="3"/>
      <c r="E11" s="19"/>
      <c r="F11" s="32" t="str">
        <f>"F"&amp;E19</f>
        <v>F22</v>
      </c>
      <c r="G11" s="33" t="str">
        <f>"G"&amp;E19</f>
        <v>G22</v>
      </c>
    </row>
    <row r="12" spans="1:5" ht="12.75">
      <c r="A12" s="19" t="s">
        <v>17</v>
      </c>
      <c r="B12" s="19"/>
      <c r="C12" s="31">
        <f ca="1">SLOPE(INDIRECT($G$11):G992,INDIRECT($F$11):F992)</f>
        <v>-2.5843279327914096E-07</v>
      </c>
      <c r="D12" s="3"/>
      <c r="E12" s="19"/>
    </row>
    <row r="13" spans="1:5" ht="12.75">
      <c r="A13" s="19" t="s">
        <v>19</v>
      </c>
      <c r="B13" s="19"/>
      <c r="C13" s="3" t="s">
        <v>14</v>
      </c>
      <c r="D13" s="23" t="s">
        <v>47</v>
      </c>
      <c r="E13" s="20">
        <v>1</v>
      </c>
    </row>
    <row r="14" spans="1:5" ht="12.75">
      <c r="A14" s="19"/>
      <c r="B14" s="19"/>
      <c r="C14" s="19"/>
      <c r="D14" s="23" t="s">
        <v>40</v>
      </c>
      <c r="E14" s="24">
        <f ca="1">NOW()+15018.5+$C$9/24</f>
        <v>59906.60104895833</v>
      </c>
    </row>
    <row r="15" spans="1:5" ht="12.75">
      <c r="A15" s="21" t="s">
        <v>18</v>
      </c>
      <c r="B15" s="19"/>
      <c r="C15" s="22">
        <f>(C7+C11)+(C8+C12)*INT(MAX(F21:F3533))</f>
        <v>56233.652938747895</v>
      </c>
      <c r="D15" s="23" t="s">
        <v>48</v>
      </c>
      <c r="E15" s="24">
        <f>ROUND(2*(E14-$C$7)/$C$8,0)/2+E13</f>
        <v>39540</v>
      </c>
    </row>
    <row r="16" spans="1:5" ht="12.75">
      <c r="A16" s="25" t="s">
        <v>4</v>
      </c>
      <c r="B16" s="19"/>
      <c r="C16" s="26">
        <f>+C8+C12</f>
        <v>0.5361079665672067</v>
      </c>
      <c r="D16" s="23" t="s">
        <v>41</v>
      </c>
      <c r="E16" s="33">
        <f>ROUND(2*(E14-$C$15)/$C$16,0)/2+E13</f>
        <v>6852</v>
      </c>
    </row>
    <row r="17" spans="1:5" ht="13.5" thickBot="1">
      <c r="A17" s="23" t="s">
        <v>29</v>
      </c>
      <c r="B17" s="19"/>
      <c r="C17" s="19">
        <f>COUNT(C21:C2191)</f>
        <v>11</v>
      </c>
      <c r="D17" s="23" t="s">
        <v>42</v>
      </c>
      <c r="E17" s="27">
        <f>+$C$15+$C$16*E16-15018.5-$C$9/24</f>
        <v>44888.96055899973</v>
      </c>
    </row>
    <row r="18" spans="1:5" ht="14.25" thickBot="1" thickTop="1">
      <c r="A18" s="25" t="s">
        <v>5</v>
      </c>
      <c r="B18" s="19"/>
      <c r="C18" s="28">
        <f>+C15</f>
        <v>56233.652938747895</v>
      </c>
      <c r="D18" s="29">
        <f>+C16</f>
        <v>0.5361079665672067</v>
      </c>
      <c r="E18" s="30" t="s">
        <v>43</v>
      </c>
    </row>
    <row r="19" spans="1:5" ht="13.5" thickTop="1">
      <c r="A19" s="34" t="s">
        <v>44</v>
      </c>
      <c r="E19" s="35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28</v>
      </c>
      <c r="J20" s="7" t="s">
        <v>33</v>
      </c>
      <c r="K20" s="7" t="s">
        <v>35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B21" s="3"/>
      <c r="C21" s="16">
        <f>+C4</f>
        <v>38709.473</v>
      </c>
      <c r="D21" s="16" t="s">
        <v>14</v>
      </c>
      <c r="E21">
        <f aca="true" t="shared" si="0" ref="E21:E28">+(C21-C$7)/C$8</f>
        <v>0</v>
      </c>
      <c r="F21">
        <f aca="true" t="shared" si="1" ref="F21:F31">ROUND(2*E21,0)/2</f>
        <v>0</v>
      </c>
      <c r="G21">
        <f>+C21-(C$7+F21*C$8)</f>
        <v>0</v>
      </c>
      <c r="H21">
        <f>+G21</f>
        <v>0</v>
      </c>
      <c r="O21">
        <f aca="true" t="shared" si="2" ref="O21:O28">+C$11+C$12*$F21</f>
        <v>-0.11727240095395092</v>
      </c>
      <c r="Q21" s="2">
        <f aca="true" t="shared" si="3" ref="Q21:Q28">+C21-15018.5</f>
        <v>23690.972999999998</v>
      </c>
    </row>
    <row r="22" spans="1:17" ht="12.75">
      <c r="A22" t="s">
        <v>33</v>
      </c>
      <c r="B22" s="3" t="s">
        <v>32</v>
      </c>
      <c r="C22" s="16">
        <v>51277.8693</v>
      </c>
      <c r="D22" s="16"/>
      <c r="E22">
        <f t="shared" si="0"/>
        <v>23443.766974476097</v>
      </c>
      <c r="F22">
        <f t="shared" si="1"/>
        <v>23444</v>
      </c>
      <c r="G22">
        <f>+C22-(C$7+F22*C$8)</f>
        <v>-0.12492690000362927</v>
      </c>
      <c r="J22">
        <f>+G22</f>
        <v>-0.12492690000362927</v>
      </c>
      <c r="O22">
        <f t="shared" si="2"/>
        <v>-0.1233310993595871</v>
      </c>
      <c r="Q22" s="2">
        <f t="shared" si="3"/>
        <v>36259.3693</v>
      </c>
    </row>
    <row r="23" spans="1:17" ht="12.75">
      <c r="A23" t="s">
        <v>33</v>
      </c>
      <c r="B23" s="3" t="s">
        <v>34</v>
      </c>
      <c r="C23" s="16">
        <v>51278.1388</v>
      </c>
      <c r="D23" s="16"/>
      <c r="E23">
        <f t="shared" si="0"/>
        <v>23444.26967148285</v>
      </c>
      <c r="F23">
        <f t="shared" si="1"/>
        <v>23444.5</v>
      </c>
      <c r="G23">
        <f>+C23-(C$7+F23*C$8)</f>
        <v>-0.1234810124951764</v>
      </c>
      <c r="J23">
        <f>+G23</f>
        <v>-0.1234810124951764</v>
      </c>
      <c r="O23">
        <f t="shared" si="2"/>
        <v>-0.12333122857598373</v>
      </c>
      <c r="Q23" s="2">
        <f t="shared" si="3"/>
        <v>36259.6388</v>
      </c>
    </row>
    <row r="24" spans="1:17" ht="12.75">
      <c r="A24" t="s">
        <v>31</v>
      </c>
      <c r="B24" s="3" t="s">
        <v>32</v>
      </c>
      <c r="C24" s="16">
        <v>51626.3446</v>
      </c>
      <c r="D24" s="16">
        <v>0.0044</v>
      </c>
      <c r="E24">
        <f t="shared" si="0"/>
        <v>24093.77621468128</v>
      </c>
      <c r="F24">
        <f t="shared" si="1"/>
        <v>24094</v>
      </c>
      <c r="I24" s="33">
        <v>-0.11997315000189701</v>
      </c>
      <c r="O24">
        <f t="shared" si="2"/>
        <v>-0.12349908067521854</v>
      </c>
      <c r="Q24" s="2">
        <f t="shared" si="3"/>
        <v>36607.8446</v>
      </c>
    </row>
    <row r="25" spans="1:17" ht="12.75">
      <c r="A25" s="13" t="s">
        <v>37</v>
      </c>
      <c r="B25" s="14" t="s">
        <v>32</v>
      </c>
      <c r="C25" s="15">
        <v>53297.9262</v>
      </c>
      <c r="D25" s="15">
        <v>0.0004</v>
      </c>
      <c r="E25">
        <f t="shared" si="0"/>
        <v>27211.76904159604</v>
      </c>
      <c r="F25">
        <f t="shared" si="1"/>
        <v>27212</v>
      </c>
      <c r="G25">
        <f aca="true" t="shared" si="4" ref="G25:G30">+C25-(C$7+F25*C$8)</f>
        <v>-0.1238186999980826</v>
      </c>
      <c r="K25">
        <f>+G25</f>
        <v>-0.1238186999980826</v>
      </c>
      <c r="O25">
        <f t="shared" si="2"/>
        <v>-0.1243048741246629</v>
      </c>
      <c r="Q25" s="2">
        <f t="shared" si="3"/>
        <v>38279.4262</v>
      </c>
    </row>
    <row r="26" spans="1:17" ht="12.75">
      <c r="A26" s="13" t="s">
        <v>37</v>
      </c>
      <c r="B26" s="14" t="s">
        <v>34</v>
      </c>
      <c r="C26" s="15">
        <v>53301.9482</v>
      </c>
      <c r="D26" s="15">
        <v>0.0005</v>
      </c>
      <c r="E26">
        <f t="shared" si="0"/>
        <v>27219.271258149416</v>
      </c>
      <c r="F26">
        <f t="shared" si="1"/>
        <v>27219.5</v>
      </c>
      <c r="G26">
        <f t="shared" si="4"/>
        <v>-0.12263038750097621</v>
      </c>
      <c r="K26">
        <f>+G26</f>
        <v>-0.12263038750097621</v>
      </c>
      <c r="O26">
        <f t="shared" si="2"/>
        <v>-0.1243068123706125</v>
      </c>
      <c r="Q26" s="2">
        <f t="shared" si="3"/>
        <v>38283.4482</v>
      </c>
    </row>
    <row r="27" spans="1:17" ht="12.75">
      <c r="A27" s="36" t="s">
        <v>45</v>
      </c>
      <c r="B27" s="37" t="s">
        <v>32</v>
      </c>
      <c r="C27" s="36">
        <v>54831.7322</v>
      </c>
      <c r="D27" s="36">
        <v>0.0005</v>
      </c>
      <c r="E27">
        <f t="shared" si="0"/>
        <v>30072.769728537554</v>
      </c>
      <c r="F27">
        <f t="shared" si="1"/>
        <v>30073</v>
      </c>
      <c r="G27">
        <f t="shared" si="4"/>
        <v>-0.12345042500237469</v>
      </c>
      <c r="J27">
        <f>+G27</f>
        <v>-0.12345042500237469</v>
      </c>
      <c r="O27">
        <f t="shared" si="2"/>
        <v>-0.12504425034623454</v>
      </c>
      <c r="Q27" s="2">
        <f t="shared" si="3"/>
        <v>39813.2322</v>
      </c>
    </row>
    <row r="28" spans="1:17" ht="12.75">
      <c r="A28" s="38" t="s">
        <v>46</v>
      </c>
      <c r="B28" s="39" t="s">
        <v>32</v>
      </c>
      <c r="C28" s="38">
        <v>55197.6269</v>
      </c>
      <c r="D28" s="38">
        <v>0.0008</v>
      </c>
      <c r="E28">
        <f t="shared" si="0"/>
        <v>30755.271288740263</v>
      </c>
      <c r="F28">
        <f t="shared" si="1"/>
        <v>30755.5</v>
      </c>
      <c r="G28">
        <f t="shared" si="4"/>
        <v>-0.12261398749251384</v>
      </c>
      <c r="J28">
        <f>+G28</f>
        <v>-0.12261398749251384</v>
      </c>
      <c r="O28">
        <f t="shared" si="2"/>
        <v>-0.12522063072764753</v>
      </c>
      <c r="Q28" s="2">
        <f t="shared" si="3"/>
        <v>40179.1269</v>
      </c>
    </row>
    <row r="29" spans="1:17" ht="12.75">
      <c r="A29" s="43" t="s">
        <v>49</v>
      </c>
      <c r="B29" s="44" t="s">
        <v>34</v>
      </c>
      <c r="C29" s="45">
        <v>55497.8428</v>
      </c>
      <c r="D29" s="45">
        <v>0.0024</v>
      </c>
      <c r="E29">
        <f>+(C29-C$7)/C$8</f>
        <v>31315.262510661913</v>
      </c>
      <c r="F29">
        <f t="shared" si="1"/>
        <v>31315.5</v>
      </c>
      <c r="G29">
        <f t="shared" si="4"/>
        <v>-0.12731998749950435</v>
      </c>
      <c r="J29">
        <f>+G29</f>
        <v>-0.12731998749950435</v>
      </c>
      <c r="O29">
        <f>+C$11+C$12*$F29</f>
        <v>-0.12536535309188385</v>
      </c>
      <c r="Q29" s="2">
        <f>+C29-15018.5</f>
        <v>40479.3428</v>
      </c>
    </row>
    <row r="30" spans="1:17" ht="12.75">
      <c r="A30" s="38" t="s">
        <v>50</v>
      </c>
      <c r="B30" s="39" t="s">
        <v>32</v>
      </c>
      <c r="C30" s="38">
        <v>55858.9103</v>
      </c>
      <c r="D30" s="38">
        <v>0.001</v>
      </c>
      <c r="E30">
        <f>+(C30-C$7)/C$8</f>
        <v>31988.759918764546</v>
      </c>
      <c r="F30">
        <f t="shared" si="1"/>
        <v>31989</v>
      </c>
      <c r="G30">
        <f t="shared" si="4"/>
        <v>-0.1287095249936101</v>
      </c>
      <c r="J30">
        <f>+G30</f>
        <v>-0.1287095249936101</v>
      </c>
      <c r="O30">
        <f>+C$11+C$12*$F30</f>
        <v>-0.12553940757815735</v>
      </c>
      <c r="Q30" s="2">
        <f>+C30-15018.5</f>
        <v>40840.4103</v>
      </c>
    </row>
    <row r="31" spans="1:17" ht="12.75">
      <c r="A31" s="40" t="s">
        <v>51</v>
      </c>
      <c r="B31" s="41" t="s">
        <v>32</v>
      </c>
      <c r="C31" s="42">
        <v>56233.9215</v>
      </c>
      <c r="D31" s="42">
        <v>0.0005</v>
      </c>
      <c r="E31">
        <f>+(C31-C$7)/C$8</f>
        <v>32688.2664409784</v>
      </c>
      <c r="F31">
        <f t="shared" si="1"/>
        <v>32688.5</v>
      </c>
      <c r="G31">
        <f>+C31-(C$7+F31*C$8)</f>
        <v>-0.12521291250595823</v>
      </c>
      <c r="J31">
        <f>+G31</f>
        <v>-0.12521291250595823</v>
      </c>
      <c r="O31">
        <f>+C$11+C$12*$F31</f>
        <v>-0.12572018131705612</v>
      </c>
      <c r="Q31" s="2">
        <f>+C31-15018.5</f>
        <v>41215.4215</v>
      </c>
    </row>
    <row r="32" spans="2:17" ht="12.75">
      <c r="B32" s="3"/>
      <c r="C32" s="17"/>
      <c r="D32" s="17"/>
      <c r="Q32" s="2"/>
    </row>
    <row r="33" spans="2:17" ht="12.75">
      <c r="B33" s="3"/>
      <c r="C33" s="17"/>
      <c r="D33" s="17"/>
      <c r="Q33" s="2"/>
    </row>
    <row r="34" spans="2:4" ht="12.75">
      <c r="B34" s="3"/>
      <c r="C34" s="17"/>
      <c r="D34" s="17"/>
    </row>
    <row r="35" spans="2:4" ht="12.75">
      <c r="B35" s="3"/>
      <c r="C35" s="17"/>
      <c r="D35" s="17"/>
    </row>
    <row r="36" spans="2:4" ht="12.75">
      <c r="B36" s="3"/>
      <c r="C36" s="17"/>
      <c r="D36" s="17"/>
    </row>
    <row r="37" spans="2:4" ht="12.75">
      <c r="B37" s="3"/>
      <c r="C37" s="17"/>
      <c r="D37" s="17"/>
    </row>
    <row r="38" spans="2:4" ht="12.75">
      <c r="B38" s="3"/>
      <c r="C38" s="17"/>
      <c r="D38" s="17"/>
    </row>
    <row r="39" spans="2:4" ht="12.75">
      <c r="B39" s="3"/>
      <c r="C39" s="17"/>
      <c r="D39" s="17"/>
    </row>
    <row r="40" spans="2:4" ht="12.75">
      <c r="B40" s="3"/>
      <c r="C40" s="17"/>
      <c r="D40" s="17"/>
    </row>
    <row r="41" spans="2:4" ht="12.75">
      <c r="B41" s="3"/>
      <c r="C41" s="17"/>
      <c r="D41" s="17"/>
    </row>
    <row r="42" spans="2:4" ht="12.75">
      <c r="B42" s="3"/>
      <c r="C42" s="17"/>
      <c r="D42" s="17"/>
    </row>
    <row r="43" spans="2:4" ht="12.75">
      <c r="B43" s="3"/>
      <c r="C43" s="17"/>
      <c r="D43" s="17"/>
    </row>
    <row r="44" spans="2:4" ht="12.75">
      <c r="B44" s="3"/>
      <c r="C44" s="17"/>
      <c r="D44" s="17"/>
    </row>
    <row r="45" spans="2:4" ht="12.75">
      <c r="B45" s="3"/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7" customWidth="1"/>
    <col min="2" max="2" width="4.421875" style="19" customWidth="1"/>
    <col min="3" max="3" width="12.7109375" style="17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7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6" t="s">
        <v>53</v>
      </c>
      <c r="I1" s="47" t="s">
        <v>54</v>
      </c>
      <c r="J1" s="48" t="s">
        <v>55</v>
      </c>
    </row>
    <row r="2" spans="9:10" ht="12.75">
      <c r="I2" s="49" t="s">
        <v>56</v>
      </c>
      <c r="J2" s="50" t="s">
        <v>57</v>
      </c>
    </row>
    <row r="3" spans="1:10" ht="12.75">
      <c r="A3" s="51" t="s">
        <v>58</v>
      </c>
      <c r="I3" s="49" t="s">
        <v>59</v>
      </c>
      <c r="J3" s="50" t="s">
        <v>60</v>
      </c>
    </row>
    <row r="4" spans="9:10" ht="12.75">
      <c r="I4" s="49" t="s">
        <v>61</v>
      </c>
      <c r="J4" s="50" t="s">
        <v>60</v>
      </c>
    </row>
    <row r="5" spans="9:10" ht="13.5" thickBot="1">
      <c r="I5" s="52" t="s">
        <v>62</v>
      </c>
      <c r="J5" s="53" t="s">
        <v>63</v>
      </c>
    </row>
    <row r="10" ht="13.5" thickBot="1"/>
    <row r="11" spans="1:16" ht="12.75" customHeight="1" thickBot="1">
      <c r="A11" s="17" t="str">
        <f aca="true" t="shared" si="0" ref="A11:A18">P11</f>
        <v>IBVS 5287 </v>
      </c>
      <c r="B11" s="3" t="str">
        <f aca="true" t="shared" si="1" ref="B11:B18">IF(H11=INT(H11),"I","II")</f>
        <v>I</v>
      </c>
      <c r="C11" s="17">
        <f aca="true" t="shared" si="2" ref="C11:C18">1*G11</f>
        <v>51626.3446</v>
      </c>
      <c r="D11" s="19" t="str">
        <f aca="true" t="shared" si="3" ref="D11:D18">VLOOKUP(F11,I$1:J$5,2,FALSE)</f>
        <v>vis</v>
      </c>
      <c r="E11" s="54">
        <f>VLOOKUP(C11,A!C$21:E$973,3,FALSE)</f>
        <v>24093.77621468128</v>
      </c>
      <c r="F11" s="3" t="s">
        <v>62</v>
      </c>
      <c r="G11" s="19" t="str">
        <f aca="true" t="shared" si="4" ref="G11:G18">MID(I11,3,LEN(I11)-3)</f>
        <v>51626.3446</v>
      </c>
      <c r="H11" s="17">
        <f aca="true" t="shared" si="5" ref="H11:H18">1*K11</f>
        <v>24094</v>
      </c>
      <c r="I11" s="55" t="s">
        <v>64</v>
      </c>
      <c r="J11" s="56" t="s">
        <v>65</v>
      </c>
      <c r="K11" s="55">
        <v>24094</v>
      </c>
      <c r="L11" s="55" t="s">
        <v>66</v>
      </c>
      <c r="M11" s="56" t="s">
        <v>67</v>
      </c>
      <c r="N11" s="56" t="s">
        <v>68</v>
      </c>
      <c r="O11" s="57" t="s">
        <v>69</v>
      </c>
      <c r="P11" s="58" t="s">
        <v>70</v>
      </c>
    </row>
    <row r="12" spans="1:16" ht="12.75" customHeight="1" thickBot="1">
      <c r="A12" s="17" t="str">
        <f t="shared" si="0"/>
        <v>IBVS 5690 </v>
      </c>
      <c r="B12" s="3" t="str">
        <f t="shared" si="1"/>
        <v>I</v>
      </c>
      <c r="C12" s="17">
        <f t="shared" si="2"/>
        <v>53297.9262</v>
      </c>
      <c r="D12" s="19" t="str">
        <f t="shared" si="3"/>
        <v>vis</v>
      </c>
      <c r="E12" s="54">
        <f>VLOOKUP(C12,A!C$21:E$973,3,FALSE)</f>
        <v>27211.76904159604</v>
      </c>
      <c r="F12" s="3" t="s">
        <v>62</v>
      </c>
      <c r="G12" s="19" t="str">
        <f t="shared" si="4"/>
        <v>53297.9262</v>
      </c>
      <c r="H12" s="17">
        <f t="shared" si="5"/>
        <v>27212</v>
      </c>
      <c r="I12" s="55" t="s">
        <v>71</v>
      </c>
      <c r="J12" s="56" t="s">
        <v>72</v>
      </c>
      <c r="K12" s="55">
        <v>27212</v>
      </c>
      <c r="L12" s="55" t="s">
        <v>73</v>
      </c>
      <c r="M12" s="56" t="s">
        <v>67</v>
      </c>
      <c r="N12" s="56" t="s">
        <v>68</v>
      </c>
      <c r="O12" s="57" t="s">
        <v>74</v>
      </c>
      <c r="P12" s="58" t="s">
        <v>75</v>
      </c>
    </row>
    <row r="13" spans="1:16" ht="12.75" customHeight="1" thickBot="1">
      <c r="A13" s="17" t="str">
        <f t="shared" si="0"/>
        <v>IBVS 5690 </v>
      </c>
      <c r="B13" s="3" t="str">
        <f t="shared" si="1"/>
        <v>I</v>
      </c>
      <c r="C13" s="17">
        <f t="shared" si="2"/>
        <v>53301.9482</v>
      </c>
      <c r="D13" s="19" t="str">
        <f t="shared" si="3"/>
        <v>vis</v>
      </c>
      <c r="E13" s="54">
        <f>VLOOKUP(C13,A!C$21:E$973,3,FALSE)</f>
        <v>27219.271258149416</v>
      </c>
      <c r="F13" s="3" t="s">
        <v>62</v>
      </c>
      <c r="G13" s="19" t="str">
        <f t="shared" si="4"/>
        <v>53301.9482</v>
      </c>
      <c r="H13" s="17">
        <f t="shared" si="5"/>
        <v>27220</v>
      </c>
      <c r="I13" s="55" t="s">
        <v>76</v>
      </c>
      <c r="J13" s="56" t="s">
        <v>77</v>
      </c>
      <c r="K13" s="55">
        <v>27220</v>
      </c>
      <c r="L13" s="55" t="s">
        <v>78</v>
      </c>
      <c r="M13" s="56" t="s">
        <v>67</v>
      </c>
      <c r="N13" s="56" t="s">
        <v>68</v>
      </c>
      <c r="O13" s="57" t="s">
        <v>74</v>
      </c>
      <c r="P13" s="58" t="s">
        <v>75</v>
      </c>
    </row>
    <row r="14" spans="1:16" ht="12.75" customHeight="1" thickBot="1">
      <c r="A14" s="17" t="str">
        <f t="shared" si="0"/>
        <v>IBVS 5871 </v>
      </c>
      <c r="B14" s="3" t="str">
        <f t="shared" si="1"/>
        <v>II</v>
      </c>
      <c r="C14" s="17">
        <f t="shared" si="2"/>
        <v>54831.7322</v>
      </c>
      <c r="D14" s="19" t="str">
        <f t="shared" si="3"/>
        <v>vis</v>
      </c>
      <c r="E14" s="54">
        <f>VLOOKUP(C14,A!C$21:E$973,3,FALSE)</f>
        <v>30072.769728537554</v>
      </c>
      <c r="F14" s="3" t="s">
        <v>62</v>
      </c>
      <c r="G14" s="19" t="str">
        <f t="shared" si="4"/>
        <v>54831.7322</v>
      </c>
      <c r="H14" s="17">
        <f t="shared" si="5"/>
        <v>30073.5</v>
      </c>
      <c r="I14" s="55" t="s">
        <v>79</v>
      </c>
      <c r="J14" s="56" t="s">
        <v>80</v>
      </c>
      <c r="K14" s="55">
        <v>30073.5</v>
      </c>
      <c r="L14" s="55" t="s">
        <v>81</v>
      </c>
      <c r="M14" s="56" t="s">
        <v>82</v>
      </c>
      <c r="N14" s="56" t="s">
        <v>62</v>
      </c>
      <c r="O14" s="57" t="s">
        <v>83</v>
      </c>
      <c r="P14" s="58" t="s">
        <v>84</v>
      </c>
    </row>
    <row r="15" spans="1:16" ht="12.75" customHeight="1" thickBot="1">
      <c r="A15" s="17" t="str">
        <f t="shared" si="0"/>
        <v>IBVS 5920 </v>
      </c>
      <c r="B15" s="3" t="str">
        <f t="shared" si="1"/>
        <v>I</v>
      </c>
      <c r="C15" s="17">
        <f t="shared" si="2"/>
        <v>55197.6269</v>
      </c>
      <c r="D15" s="19" t="str">
        <f t="shared" si="3"/>
        <v>vis</v>
      </c>
      <c r="E15" s="54">
        <f>VLOOKUP(C15,A!C$21:E$973,3,FALSE)</f>
        <v>30755.271288740263</v>
      </c>
      <c r="F15" s="3" t="s">
        <v>62</v>
      </c>
      <c r="G15" s="19" t="str">
        <f t="shared" si="4"/>
        <v>55197.6269</v>
      </c>
      <c r="H15" s="17">
        <f t="shared" si="5"/>
        <v>30756</v>
      </c>
      <c r="I15" s="55" t="s">
        <v>85</v>
      </c>
      <c r="J15" s="56" t="s">
        <v>86</v>
      </c>
      <c r="K15" s="55">
        <v>30756</v>
      </c>
      <c r="L15" s="55" t="s">
        <v>87</v>
      </c>
      <c r="M15" s="56" t="s">
        <v>82</v>
      </c>
      <c r="N15" s="56" t="s">
        <v>62</v>
      </c>
      <c r="O15" s="57" t="s">
        <v>83</v>
      </c>
      <c r="P15" s="58" t="s">
        <v>88</v>
      </c>
    </row>
    <row r="16" spans="1:16" ht="12.75" customHeight="1" thickBot="1">
      <c r="A16" s="17" t="str">
        <f t="shared" si="0"/>
        <v>IBVS 5960 </v>
      </c>
      <c r="B16" s="3" t="str">
        <f t="shared" si="1"/>
        <v>I</v>
      </c>
      <c r="C16" s="17">
        <f t="shared" si="2"/>
        <v>55497.8428</v>
      </c>
      <c r="D16" s="19" t="str">
        <f t="shared" si="3"/>
        <v>vis</v>
      </c>
      <c r="E16" s="54">
        <f>VLOOKUP(C16,A!C$21:E$973,3,FALSE)</f>
        <v>31315.262510661913</v>
      </c>
      <c r="F16" s="3" t="s">
        <v>62</v>
      </c>
      <c r="G16" s="19" t="str">
        <f t="shared" si="4"/>
        <v>55497.8428</v>
      </c>
      <c r="H16" s="17">
        <f t="shared" si="5"/>
        <v>31316</v>
      </c>
      <c r="I16" s="55" t="s">
        <v>89</v>
      </c>
      <c r="J16" s="56" t="s">
        <v>90</v>
      </c>
      <c r="K16" s="55">
        <v>31316</v>
      </c>
      <c r="L16" s="55" t="s">
        <v>91</v>
      </c>
      <c r="M16" s="56" t="s">
        <v>82</v>
      </c>
      <c r="N16" s="56" t="s">
        <v>62</v>
      </c>
      <c r="O16" s="57" t="s">
        <v>83</v>
      </c>
      <c r="P16" s="58" t="s">
        <v>92</v>
      </c>
    </row>
    <row r="17" spans="1:16" ht="12.75" customHeight="1" thickBot="1">
      <c r="A17" s="17" t="str">
        <f t="shared" si="0"/>
        <v>IBVS 6011 </v>
      </c>
      <c r="B17" s="3" t="str">
        <f t="shared" si="1"/>
        <v>II</v>
      </c>
      <c r="C17" s="17">
        <f t="shared" si="2"/>
        <v>55858.9103</v>
      </c>
      <c r="D17" s="19" t="str">
        <f t="shared" si="3"/>
        <v>vis</v>
      </c>
      <c r="E17" s="54">
        <f>VLOOKUP(C17,A!C$21:E$973,3,FALSE)</f>
        <v>31988.759918764546</v>
      </c>
      <c r="F17" s="3" t="s">
        <v>62</v>
      </c>
      <c r="G17" s="19" t="str">
        <f t="shared" si="4"/>
        <v>55858.9103</v>
      </c>
      <c r="H17" s="17">
        <f t="shared" si="5"/>
        <v>31989.5</v>
      </c>
      <c r="I17" s="55" t="s">
        <v>93</v>
      </c>
      <c r="J17" s="56" t="s">
        <v>94</v>
      </c>
      <c r="K17" s="55">
        <v>31989.5</v>
      </c>
      <c r="L17" s="55" t="s">
        <v>95</v>
      </c>
      <c r="M17" s="56" t="s">
        <v>82</v>
      </c>
      <c r="N17" s="56" t="s">
        <v>62</v>
      </c>
      <c r="O17" s="57" t="s">
        <v>83</v>
      </c>
      <c r="P17" s="58" t="s">
        <v>96</v>
      </c>
    </row>
    <row r="18" spans="1:16" ht="12.75" customHeight="1" thickBot="1">
      <c r="A18" s="17" t="str">
        <f t="shared" si="0"/>
        <v>IBVS 6042 </v>
      </c>
      <c r="B18" s="3" t="str">
        <f t="shared" si="1"/>
        <v>I</v>
      </c>
      <c r="C18" s="17">
        <f t="shared" si="2"/>
        <v>56233.9215</v>
      </c>
      <c r="D18" s="19" t="str">
        <f t="shared" si="3"/>
        <v>vis</v>
      </c>
      <c r="E18" s="54">
        <f>VLOOKUP(C18,A!C$21:E$973,3,FALSE)</f>
        <v>32688.2664409784</v>
      </c>
      <c r="F18" s="3" t="s">
        <v>62</v>
      </c>
      <c r="G18" s="19" t="str">
        <f t="shared" si="4"/>
        <v>56233.9215</v>
      </c>
      <c r="H18" s="17">
        <f t="shared" si="5"/>
        <v>32689</v>
      </c>
      <c r="I18" s="55" t="s">
        <v>97</v>
      </c>
      <c r="J18" s="56" t="s">
        <v>98</v>
      </c>
      <c r="K18" s="55">
        <v>32689</v>
      </c>
      <c r="L18" s="55" t="s">
        <v>99</v>
      </c>
      <c r="M18" s="56" t="s">
        <v>82</v>
      </c>
      <c r="N18" s="56" t="s">
        <v>62</v>
      </c>
      <c r="O18" s="57" t="s">
        <v>83</v>
      </c>
      <c r="P18" s="58" t="s">
        <v>100</v>
      </c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</sheetData>
  <sheetProtection/>
  <hyperlinks>
    <hyperlink ref="P11" r:id="rId1" display="http://www.konkoly.hu/cgi-bin/IBVS?5287"/>
    <hyperlink ref="P12" r:id="rId2" display="http://www.konkoly.hu/cgi-bin/IBVS?5690"/>
    <hyperlink ref="P13" r:id="rId3" display="http://www.konkoly.hu/cgi-bin/IBVS?5690"/>
    <hyperlink ref="P14" r:id="rId4" display="http://www.konkoly.hu/cgi-bin/IBVS?5871"/>
    <hyperlink ref="P15" r:id="rId5" display="http://www.konkoly.hu/cgi-bin/IBVS?5920"/>
    <hyperlink ref="P16" r:id="rId6" display="http://www.konkoly.hu/cgi-bin/IBVS?5960"/>
    <hyperlink ref="P17" r:id="rId7" display="http://www.konkoly.hu/cgi-bin/IBVS?6011"/>
    <hyperlink ref="P18" r:id="rId8" display="http://www.konkoly.hu/cgi-bin/IBVS?60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