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00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<sst xmlns="http://schemas.openxmlformats.org/spreadsheetml/2006/main" count="122" uniqueCount="74">
  <si>
    <t>OEJV 0182</t>
  </si>
  <si>
    <t>BAD?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</si>
  <si>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</si>
  <si>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</si>
  <si>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</si>
  <si>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</si>
  <si>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</si>
  <si>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</si>
  <si>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</si>
  <si>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</si>
  <si>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</si>
  <si>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</si>
  <si>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</si>
  <si>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</si>
  <si>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</si>
  <si>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</si>
  <si>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</si>
  <si>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</si>
  <si>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</si>
  <si>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</si>
  <si>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</si>
  <si>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</si>
  <si>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</si>
  <si>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</si>
  <si>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</si>
  <si>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</si>
  <si>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</si>
  <si>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</si>
  <si>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</si>
  <si>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</si>
  <si>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</si>
  <si>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</si>
  <si>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</si>
  <si>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</si>
  <si>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</si>
  <si>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</si>
  <si>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</si>
  <si>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</si>
  <si>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</si>
  <si>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</si>
  <si>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</si>
  <si>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</si>
  <si>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</si>
  <si>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</si>
  <si>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</si>
  <si>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</si>
  <si>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</si>
  <si>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</si>
  <si>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</si>
  <si>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CS Pup</t>
  </si>
  <si>
    <t>EA</t>
  </si>
  <si>
    <t>GCVS 4</t>
  </si>
  <si>
    <t>2427509.25 </t>
  </si>
  <si>
    <t> 12.03.1934 18:00 </t>
  </si>
  <si>
    <t> -0.02 </t>
  </si>
  <si>
    <t>P </t>
  </si>
  <si>
    <t> A.van Hoof </t>
  </si>
  <si>
    <t> PLOU 106.6 </t>
  </si>
  <si>
    <t>2427892.23 </t>
  </si>
  <si>
    <t> 30.03.1935 17:31 </t>
  </si>
  <si>
    <t> 0.01 </t>
  </si>
  <si>
    <t>2428163.48 </t>
  </si>
  <si>
    <t> 26.12.1935 23:31 </t>
  </si>
  <si>
    <t>2428219.28 </t>
  </si>
  <si>
    <t> 20.02.1936 18:43 </t>
  </si>
  <si>
    <t> -0.04 </t>
  </si>
  <si>
    <t>2428602.26 </t>
  </si>
  <si>
    <t> 09.03.1937 18:14 </t>
  </si>
  <si>
    <t> -0.01 </t>
  </si>
  <si>
    <t>2428610.24 </t>
  </si>
  <si>
    <t> 17.03.1937 17:45 </t>
  </si>
  <si>
    <t> -0.00 </t>
  </si>
  <si>
    <t>I</t>
  </si>
  <si>
    <t>CS Pup / GSC 52501.864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</si>
</sst>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4" fillId="25" borderId="5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1" fillId="0" borderId="0" xfId="61" applyFont="1" applyAlignment="1">
      <alignment horizontal="left" vertical="center"/>
      <protection/>
    </xf>
    <xf numFmtId="0" fontId="31" fillId="0" borderId="0" xfId="61" applyFont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0.0007</c:v>
                  </c:pt>
                  <c:pt idx="9">
                    <c:v>0.0006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8533548"/>
        <c:axId val="22166525"/>
      </c:scatterChart>
      <c:valAx>
        <c:axId val="2853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6525"/>
        <c:crosses val="autoZero"/>
        <c:crossBetween val="midCat"/>
        <c:dispUnits/>
      </c:valAx>
      <c:valAx>
        <c:axId val="2216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35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17</xdr:col>
      <xdr:colOff>190500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196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73</v>
      </c>
      <c r="F1" s="50" t="s">
        <v>49</v>
      </c>
      <c r="G1" s="32">
        <v>7.3435</v>
      </c>
      <c r="H1" s="33">
        <v>-19.3457</v>
      </c>
      <c r="I1" s="34">
        <v>52501.864</v>
      </c>
      <c r="J1" s="34">
        <v>2.6593533</v>
      </c>
      <c r="K1" s="31" t="s">
        <v>50</v>
      </c>
      <c r="L1" s="33"/>
      <c r="M1" s="34">
        <v>52501.864</v>
      </c>
      <c r="N1" s="34">
        <v>2.6593533</v>
      </c>
      <c r="O1" s="37" t="s">
        <v>50</v>
      </c>
    </row>
    <row r="2" spans="1:4" ht="12.75">
      <c r="A2" t="s">
        <v>25</v>
      </c>
      <c r="B2" t="s">
        <v>50</v>
      </c>
      <c r="C2" s="30"/>
      <c r="D2" s="3"/>
    </row>
    <row r="3" ht="13.5" thickBot="1"/>
    <row r="4" spans="1:4" ht="14.25" thickBot="1" thickTop="1">
      <c r="A4" s="5" t="s">
        <v>2</v>
      </c>
      <c r="C4" s="27">
        <v>28062.415</v>
      </c>
      <c r="D4" s="28">
        <v>2.659365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v>52501.864</v>
      </c>
      <c r="D7" s="29" t="s">
        <v>51</v>
      </c>
    </row>
    <row r="8" spans="1:4" ht="12.75">
      <c r="A8" t="s">
        <v>5</v>
      </c>
      <c r="C8" s="8">
        <v>2.6593533</v>
      </c>
      <c r="D8" s="29" t="s">
        <v>51</v>
      </c>
    </row>
    <row r="9" spans="1:5" ht="12.75">
      <c r="A9" s="24" t="s">
        <v>34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INTERCEPT(INDIRECT($E$9):G992,INDIRECT($D$9):F992)</f>
        <v>0.009656901403154613</v>
      </c>
      <c r="D11" s="3"/>
      <c r="E11" s="10"/>
    </row>
    <row r="12" spans="1:5" ht="12.75">
      <c r="A12" s="10" t="s">
        <v>18</v>
      </c>
      <c r="B12" s="10"/>
      <c r="C12" s="21">
        <f ca="1">SLOPE(INDIRECT($E$9):G992,INDIRECT($D$9):F992)</f>
        <v>9.36728773840953E-07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57474.866079584215</v>
      </c>
      <c r="E15" s="14" t="s">
        <v>35</v>
      </c>
      <c r="F15" s="35">
        <v>1</v>
      </c>
    </row>
    <row r="16" spans="1:6" ht="12.75">
      <c r="A16" s="16" t="s">
        <v>6</v>
      </c>
      <c r="B16" s="10"/>
      <c r="C16" s="17">
        <f>+C8+C12</f>
        <v>2.6593542367287735</v>
      </c>
      <c r="E16" s="14" t="s">
        <v>32</v>
      </c>
      <c r="F16" s="36">
        <f ca="1">NOW()+15018.5+$C$5/24</f>
        <v>59906.73868321759</v>
      </c>
    </row>
    <row r="17" spans="1:6" ht="13.5" thickBot="1">
      <c r="A17" s="14" t="s">
        <v>29</v>
      </c>
      <c r="B17" s="10"/>
      <c r="C17" s="10">
        <f>COUNT(C21:C2191)</f>
        <v>10</v>
      </c>
      <c r="E17" s="14" t="s">
        <v>36</v>
      </c>
      <c r="F17" s="15">
        <f>ROUND(2*(F16-$C$7)/$C$8,0)/2+F15</f>
        <v>2785.5</v>
      </c>
    </row>
    <row r="18" spans="1:6" ht="14.25" thickBot="1" thickTop="1">
      <c r="A18" s="16" t="s">
        <v>7</v>
      </c>
      <c r="B18" s="10"/>
      <c r="C18" s="19">
        <f>+C15</f>
        <v>57474.866079584215</v>
      </c>
      <c r="D18" s="20">
        <f>+C16</f>
        <v>2.6593542367287735</v>
      </c>
      <c r="E18" s="14" t="s">
        <v>37</v>
      </c>
      <c r="F18" s="23">
        <f>ROUND(2*(F16-$C$15)/$C$16,0)/2+F15</f>
        <v>915.5</v>
      </c>
    </row>
    <row r="19" spans="5:6" ht="13.5" thickTop="1">
      <c r="E19" s="14" t="s">
        <v>33</v>
      </c>
      <c r="F19" s="18">
        <f>+$C$15+$C$16*F18-15018.5-$C$5/24</f>
        <v>44891.40071664274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1</v>
      </c>
    </row>
    <row r="21" spans="1:17" ht="12.75">
      <c r="A21" t="s">
        <v>51</v>
      </c>
      <c r="C21" s="8">
        <v>52501.864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0.009656901403154613</v>
      </c>
      <c r="Q21" s="2">
        <f>+C21-15018.5</f>
        <v>37483.364</v>
      </c>
    </row>
    <row r="22" spans="1:17" ht="12.75">
      <c r="A22" s="51" t="s">
        <v>57</v>
      </c>
      <c r="B22" s="53" t="s">
        <v>72</v>
      </c>
      <c r="C22" s="52">
        <v>27509.25</v>
      </c>
      <c r="D22" s="8"/>
      <c r="E22">
        <f aca="true" t="shared" si="0" ref="E22:E27">+(C22-C$7)/C$8</f>
        <v>-9398.004394527046</v>
      </c>
      <c r="F22">
        <f aca="true" t="shared" si="1" ref="F22:F30">ROUND(2*E22,0)/2</f>
        <v>-9398</v>
      </c>
      <c r="G22">
        <f aca="true" t="shared" si="2" ref="G22:G27">+C22-(C$7+F22*C$8)</f>
        <v>-0.011686600002576597</v>
      </c>
      <c r="H22">
        <f aca="true" t="shared" si="3" ref="H22:H27">+G22</f>
        <v>-0.011686600002576597</v>
      </c>
      <c r="O22">
        <f aca="true" t="shared" si="4" ref="O22:O27">+C$11+C$12*$F22</f>
        <v>0.0008535243865973371</v>
      </c>
      <c r="Q22" s="2">
        <f aca="true" t="shared" si="5" ref="Q22:Q27">+C22-15018.5</f>
        <v>12490.75</v>
      </c>
    </row>
    <row r="23" spans="1:17" ht="12.75">
      <c r="A23" s="51" t="s">
        <v>57</v>
      </c>
      <c r="B23" s="53" t="s">
        <v>72</v>
      </c>
      <c r="C23" s="52">
        <v>27892.23</v>
      </c>
      <c r="D23" s="8"/>
      <c r="E23">
        <f t="shared" si="0"/>
        <v>-9253.99193856642</v>
      </c>
      <c r="F23">
        <f t="shared" si="1"/>
        <v>-9254</v>
      </c>
      <c r="G23">
        <f t="shared" si="2"/>
        <v>0.021438199997646734</v>
      </c>
      <c r="H23">
        <f t="shared" si="3"/>
        <v>0.021438199997646734</v>
      </c>
      <c r="O23">
        <f t="shared" si="4"/>
        <v>0.000988413330030434</v>
      </c>
      <c r="Q23" s="2">
        <f t="shared" si="5"/>
        <v>12873.73</v>
      </c>
    </row>
    <row r="24" spans="1:17" ht="12.75">
      <c r="A24" s="51" t="s">
        <v>57</v>
      </c>
      <c r="B24" s="53" t="s">
        <v>72</v>
      </c>
      <c r="C24" s="52">
        <v>28163.48</v>
      </c>
      <c r="D24" s="8"/>
      <c r="E24">
        <f t="shared" si="0"/>
        <v>-9151.993456454245</v>
      </c>
      <c r="F24">
        <f t="shared" si="1"/>
        <v>-9152</v>
      </c>
      <c r="G24">
        <f t="shared" si="2"/>
        <v>0.01740159999462776</v>
      </c>
      <c r="H24">
        <f t="shared" si="3"/>
        <v>0.01740159999462776</v>
      </c>
      <c r="O24">
        <f t="shared" si="4"/>
        <v>0.001083959664962211</v>
      </c>
      <c r="Q24" s="2">
        <f t="shared" si="5"/>
        <v>13144.98</v>
      </c>
    </row>
    <row r="25" spans="1:17" ht="12.75">
      <c r="A25" s="51" t="s">
        <v>57</v>
      </c>
      <c r="B25" s="53" t="s">
        <v>72</v>
      </c>
      <c r="C25" s="52">
        <v>28219.28</v>
      </c>
      <c r="D25" s="8"/>
      <c r="E25">
        <f t="shared" si="0"/>
        <v>-9131.010911562598</v>
      </c>
      <c r="F25">
        <f t="shared" si="1"/>
        <v>-9131</v>
      </c>
      <c r="G25">
        <f t="shared" si="2"/>
        <v>-0.029017700006079394</v>
      </c>
      <c r="H25">
        <f t="shared" si="3"/>
        <v>-0.029017700006079394</v>
      </c>
      <c r="O25">
        <f t="shared" si="4"/>
        <v>0.001103630969212871</v>
      </c>
      <c r="Q25" s="2">
        <f t="shared" si="5"/>
        <v>13200.779999999999</v>
      </c>
    </row>
    <row r="26" spans="1:17" ht="12.75">
      <c r="A26" s="51" t="s">
        <v>57</v>
      </c>
      <c r="B26" s="53" t="s">
        <v>72</v>
      </c>
      <c r="C26" s="52">
        <v>28602.26</v>
      </c>
      <c r="D26" s="8"/>
      <c r="E26">
        <f t="shared" si="0"/>
        <v>-8986.998455601972</v>
      </c>
      <c r="F26">
        <f t="shared" si="1"/>
        <v>-8987</v>
      </c>
      <c r="G26">
        <f t="shared" si="2"/>
        <v>0.004107099994143937</v>
      </c>
      <c r="H26">
        <f t="shared" si="3"/>
        <v>0.004107099994143937</v>
      </c>
      <c r="O26">
        <f t="shared" si="4"/>
        <v>0.001238519912645968</v>
      </c>
      <c r="Q26" s="2">
        <f t="shared" si="5"/>
        <v>13583.759999999998</v>
      </c>
    </row>
    <row r="27" spans="1:17" ht="12.75">
      <c r="A27" s="51" t="s">
        <v>57</v>
      </c>
      <c r="B27" s="53" t="s">
        <v>72</v>
      </c>
      <c r="C27" s="52">
        <v>28610.24</v>
      </c>
      <c r="D27" s="8"/>
      <c r="E27">
        <f t="shared" si="0"/>
        <v>-8983.997726063702</v>
      </c>
      <c r="F27">
        <f t="shared" si="1"/>
        <v>-8984</v>
      </c>
      <c r="G27">
        <f t="shared" si="2"/>
        <v>0.006047199996828567</v>
      </c>
      <c r="H27">
        <f t="shared" si="3"/>
        <v>0.006047199996828567</v>
      </c>
      <c r="O27">
        <f t="shared" si="4"/>
        <v>0.001241330098967491</v>
      </c>
      <c r="Q27" s="2">
        <f t="shared" si="5"/>
        <v>13591.740000000002</v>
      </c>
    </row>
    <row r="28" spans="1:17" ht="12.75">
      <c r="A28" s="54" t="s">
        <v>0</v>
      </c>
      <c r="B28" s="55" t="s">
        <v>72</v>
      </c>
      <c r="C28" s="54">
        <v>57403.0642</v>
      </c>
      <c r="D28" s="54">
        <v>0.0004</v>
      </c>
      <c r="E28">
        <f>+(C28-C$7)/C$8</f>
        <v>1843.0045379829749</v>
      </c>
      <c r="F28">
        <f t="shared" si="1"/>
        <v>1843</v>
      </c>
      <c r="G28">
        <f>+C28-(C$7+F28*C$8)</f>
        <v>0.012068099997122772</v>
      </c>
      <c r="K28">
        <f>+G28</f>
        <v>0.012068099997122772</v>
      </c>
      <c r="O28">
        <f>+C$11+C$12*$F28</f>
        <v>0.011383292533343489</v>
      </c>
      <c r="Q28" s="2">
        <f>+C28-15018.5</f>
        <v>42384.5642</v>
      </c>
    </row>
    <row r="29" spans="1:17" ht="12.75">
      <c r="A29" s="54" t="s">
        <v>0</v>
      </c>
      <c r="B29" s="55" t="s">
        <v>72</v>
      </c>
      <c r="C29" s="54">
        <v>57442.9591</v>
      </c>
      <c r="D29" s="54">
        <v>0.0007</v>
      </c>
      <c r="E29">
        <f>+(C29-C$7)/C$8</f>
        <v>1858.0062679148343</v>
      </c>
      <c r="F29">
        <f t="shared" si="1"/>
        <v>1858</v>
      </c>
      <c r="G29">
        <f>+C29-(C$7+F29*C$8)</f>
        <v>0.016668600001139566</v>
      </c>
      <c r="K29">
        <f>+G29</f>
        <v>0.016668600001139566</v>
      </c>
      <c r="O29">
        <f>+C$11+C$12*$F29</f>
        <v>0.011397343464951103</v>
      </c>
      <c r="Q29" s="2">
        <f>+C29-15018.5</f>
        <v>42424.4591</v>
      </c>
    </row>
    <row r="30" spans="1:17" ht="12.75">
      <c r="A30" s="54" t="s">
        <v>0</v>
      </c>
      <c r="B30" s="55" t="s">
        <v>72</v>
      </c>
      <c r="C30" s="54">
        <v>57474.868</v>
      </c>
      <c r="D30" s="54">
        <v>0.0006</v>
      </c>
      <c r="E30">
        <f>+(C30-C$7)/C$8</f>
        <v>1870.0050121208044</v>
      </c>
      <c r="F30">
        <f t="shared" si="1"/>
        <v>1870</v>
      </c>
      <c r="G30">
        <f>+C30-(C$7+F30*C$8)</f>
        <v>0.01332900000124937</v>
      </c>
      <c r="K30">
        <f>+G30</f>
        <v>0.01332900000124937</v>
      </c>
      <c r="O30">
        <f>+C$11+C$12*$F30</f>
        <v>0.011408584210237195</v>
      </c>
      <c r="Q30" s="2">
        <f>+C30-15018.5</f>
        <v>42456.368</v>
      </c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3103" r:id="rId1" display="http://vsolj.cetus-net.org/bulletin.html"/>
    <hyperlink ref="H63096" r:id="rId2" display="https://www.aavso.org/ejaavso"/>
    <hyperlink ref="I63103" r:id="rId3" display="http://vsolj.cetus-net.org/bulletin.html"/>
    <hyperlink ref="AQ56754" r:id="rId4" display="http://cdsbib.u-strasbg.fr/cgi-bin/cdsbib?1990RMxAA..21..381G"/>
    <hyperlink ref="H63100" r:id="rId5" display="https://www.aavso.org/ejaavso"/>
    <hyperlink ref="AP4118" r:id="rId6" display="http://cdsbib.u-strasbg.fr/cgi-bin/cdsbib?1990RMxAA..21..381G"/>
    <hyperlink ref="AP4121" r:id="rId7" display="http://cdsbib.u-strasbg.fr/cgi-bin/cdsbib?1990RMxAA..21..381G"/>
    <hyperlink ref="AP4119" r:id="rId8" display="http://cdsbib.u-strasbg.fr/cgi-bin/cdsbib?1990RMxAA..21..381G"/>
    <hyperlink ref="AP4103" r:id="rId9" display="http://cdsbib.u-strasbg.fr/cgi-bin/cdsbib?1990RMxAA..21..381G"/>
    <hyperlink ref="AQ4332" r:id="rId10" display="http://cdsbib.u-strasbg.fr/cgi-bin/cdsbib?1990RMxAA..21..381G"/>
    <hyperlink ref="AQ4336" r:id="rId11" display="http://cdsbib.u-strasbg.fr/cgi-bin/cdsbib?1990RMxAA..21..381G"/>
    <hyperlink ref="AQ64016" r:id="rId12" display="http://cdsbib.u-strasbg.fr/cgi-bin/cdsbib?1990RMxAA..21..381G"/>
    <hyperlink ref="I1224" r:id="rId13" display="http://vsolj.cetus-net.org/bulletin.html"/>
    <hyperlink ref="H1224" r:id="rId14" display="http://vsolj.cetus-net.org/bulletin.html"/>
    <hyperlink ref="AQ64677" r:id="rId15" display="http://cdsbib.u-strasbg.fr/cgi-bin/cdsbib?1990RMxAA..21..381G"/>
    <hyperlink ref="AQ64676" r:id="rId16" display="http://cdsbib.u-strasbg.fr/cgi-bin/cdsbib?1990RMxAA..21..381G"/>
    <hyperlink ref="AP2394" r:id="rId17" display="http://cdsbib.u-strasbg.fr/cgi-bin/cdsbib?1990RMxAA..21..381G"/>
    <hyperlink ref="AP2412" r:id="rId18" display="http://cdsbib.u-strasbg.fr/cgi-bin/cdsbib?1990RMxAA..21..381G"/>
    <hyperlink ref="AP2413" r:id="rId19" display="http://cdsbib.u-strasbg.fr/cgi-bin/cdsbib?1990RMxAA..21..381G"/>
    <hyperlink ref="AP2409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5"/>
  <sheetViews>
    <sheetView zoomScalePageLayoutView="0" workbookViewId="0" topLeftCell="A1">
      <selection activeCell="A11" sqref="A11:C16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42</v>
      </c>
      <c r="I1" s="39" t="s">
        <v>43</v>
      </c>
      <c r="J1" s="40" t="s">
        <v>41</v>
      </c>
    </row>
    <row r="2" spans="9:10" ht="12.75">
      <c r="I2" s="41" t="s">
        <v>44</v>
      </c>
      <c r="J2" s="42" t="s">
        <v>40</v>
      </c>
    </row>
    <row r="3" spans="1:10" ht="12.75">
      <c r="A3" s="43" t="s">
        <v>45</v>
      </c>
      <c r="I3" s="41" t="s">
        <v>46</v>
      </c>
      <c r="J3" s="42" t="s">
        <v>38</v>
      </c>
    </row>
    <row r="4" spans="9:10" ht="12.75">
      <c r="I4" s="41" t="s">
        <v>47</v>
      </c>
      <c r="J4" s="42" t="s">
        <v>38</v>
      </c>
    </row>
    <row r="5" spans="9:10" ht="13.5" thickBot="1">
      <c r="I5" s="44" t="s">
        <v>48</v>
      </c>
      <c r="J5" s="45" t="s">
        <v>39</v>
      </c>
    </row>
    <row r="10" ht="13.5" thickBot="1"/>
    <row r="11" spans="1:16" ht="12.75" customHeight="1" thickBot="1">
      <c r="A11" s="8" t="str">
        <f aca="true" t="shared" si="0" ref="A11:A16">P11</f>
        <v> PLOU 106.6 </v>
      </c>
      <c r="B11" s="3" t="str">
        <f aca="true" t="shared" si="1" ref="B11:B16">IF(H11=INT(H11),"I","II")</f>
        <v>I</v>
      </c>
      <c r="C11" s="8">
        <f aca="true" t="shared" si="2" ref="C11:C16">1*G11</f>
        <v>27509.25</v>
      </c>
      <c r="D11" s="10" t="str">
        <f aca="true" t="shared" si="3" ref="D11:D16">VLOOKUP(F11,I$1:J$5,2,FALSE)</f>
        <v>vis</v>
      </c>
      <c r="E11" s="46">
        <f>VLOOKUP(C11,A!C$21:E$973,3,FALSE)</f>
        <v>-9398.004394527046</v>
      </c>
      <c r="F11" s="3" t="s">
        <v>48</v>
      </c>
      <c r="G11" s="10" t="str">
        <f aca="true" t="shared" si="4" ref="G11:G16">MID(I11,3,LEN(I11)-3)</f>
        <v>27509.25</v>
      </c>
      <c r="H11" s="8">
        <f aca="true" t="shared" si="5" ref="H11:H16">1*K11</f>
        <v>-208</v>
      </c>
      <c r="I11" s="47" t="s">
        <v>52</v>
      </c>
      <c r="J11" s="48" t="s">
        <v>53</v>
      </c>
      <c r="K11" s="47">
        <v>-208</v>
      </c>
      <c r="L11" s="47" t="s">
        <v>54</v>
      </c>
      <c r="M11" s="48" t="s">
        <v>55</v>
      </c>
      <c r="N11" s="48"/>
      <c r="O11" s="49" t="s">
        <v>56</v>
      </c>
      <c r="P11" s="49" t="s">
        <v>57</v>
      </c>
    </row>
    <row r="12" spans="1:16" ht="12.75" customHeight="1" thickBot="1">
      <c r="A12" s="8" t="str">
        <f t="shared" si="0"/>
        <v> PLOU 106.6 </v>
      </c>
      <c r="B12" s="3" t="str">
        <f t="shared" si="1"/>
        <v>I</v>
      </c>
      <c r="C12" s="8">
        <f t="shared" si="2"/>
        <v>27892.23</v>
      </c>
      <c r="D12" s="10" t="str">
        <f t="shared" si="3"/>
        <v>vis</v>
      </c>
      <c r="E12" s="46">
        <f>VLOOKUP(C12,A!C$21:E$973,3,FALSE)</f>
        <v>-9253.99193856642</v>
      </c>
      <c r="F12" s="3" t="s">
        <v>48</v>
      </c>
      <c r="G12" s="10" t="str">
        <f t="shared" si="4"/>
        <v>27892.23</v>
      </c>
      <c r="H12" s="8">
        <f t="shared" si="5"/>
        <v>-64</v>
      </c>
      <c r="I12" s="47" t="s">
        <v>58</v>
      </c>
      <c r="J12" s="48" t="s">
        <v>59</v>
      </c>
      <c r="K12" s="47">
        <v>-64</v>
      </c>
      <c r="L12" s="47" t="s">
        <v>60</v>
      </c>
      <c r="M12" s="48" t="s">
        <v>55</v>
      </c>
      <c r="N12" s="48"/>
      <c r="O12" s="49" t="s">
        <v>56</v>
      </c>
      <c r="P12" s="49" t="s">
        <v>57</v>
      </c>
    </row>
    <row r="13" spans="1:16" ht="12.75" customHeight="1" thickBot="1">
      <c r="A13" s="8" t="str">
        <f t="shared" si="0"/>
        <v> PLOU 106.6 </v>
      </c>
      <c r="B13" s="3" t="str">
        <f t="shared" si="1"/>
        <v>I</v>
      </c>
      <c r="C13" s="8">
        <f t="shared" si="2"/>
        <v>28163.48</v>
      </c>
      <c r="D13" s="10" t="str">
        <f t="shared" si="3"/>
        <v>vis</v>
      </c>
      <c r="E13" s="46">
        <f>VLOOKUP(C13,A!C$21:E$973,3,FALSE)</f>
        <v>-9151.993456454245</v>
      </c>
      <c r="F13" s="3" t="s">
        <v>48</v>
      </c>
      <c r="G13" s="10" t="str">
        <f t="shared" si="4"/>
        <v>28163.48</v>
      </c>
      <c r="H13" s="8">
        <f t="shared" si="5"/>
        <v>38</v>
      </c>
      <c r="I13" s="47" t="s">
        <v>61</v>
      </c>
      <c r="J13" s="48" t="s">
        <v>62</v>
      </c>
      <c r="K13" s="47">
        <v>38</v>
      </c>
      <c r="L13" s="47" t="s">
        <v>60</v>
      </c>
      <c r="M13" s="48" t="s">
        <v>55</v>
      </c>
      <c r="N13" s="48"/>
      <c r="O13" s="49" t="s">
        <v>56</v>
      </c>
      <c r="P13" s="49" t="s">
        <v>57</v>
      </c>
    </row>
    <row r="14" spans="1:16" ht="12.75" customHeight="1" thickBot="1">
      <c r="A14" s="8" t="str">
        <f t="shared" si="0"/>
        <v> PLOU 106.6 </v>
      </c>
      <c r="B14" s="3" t="str">
        <f t="shared" si="1"/>
        <v>I</v>
      </c>
      <c r="C14" s="8">
        <f t="shared" si="2"/>
        <v>28219.28</v>
      </c>
      <c r="D14" s="10" t="str">
        <f t="shared" si="3"/>
        <v>vis</v>
      </c>
      <c r="E14" s="46">
        <f>VLOOKUP(C14,A!C$21:E$973,3,FALSE)</f>
        <v>-9131.010911562598</v>
      </c>
      <c r="F14" s="3" t="s">
        <v>48</v>
      </c>
      <c r="G14" s="10" t="str">
        <f t="shared" si="4"/>
        <v>28219.28</v>
      </c>
      <c r="H14" s="8">
        <f t="shared" si="5"/>
        <v>59</v>
      </c>
      <c r="I14" s="47" t="s">
        <v>63</v>
      </c>
      <c r="J14" s="48" t="s">
        <v>64</v>
      </c>
      <c r="K14" s="47">
        <v>59</v>
      </c>
      <c r="L14" s="47" t="s">
        <v>65</v>
      </c>
      <c r="M14" s="48" t="s">
        <v>55</v>
      </c>
      <c r="N14" s="48"/>
      <c r="O14" s="49" t="s">
        <v>56</v>
      </c>
      <c r="P14" s="49" t="s">
        <v>57</v>
      </c>
    </row>
    <row r="15" spans="1:16" ht="12.75" customHeight="1" thickBot="1">
      <c r="A15" s="8" t="str">
        <f t="shared" si="0"/>
        <v> PLOU 106.6 </v>
      </c>
      <c r="B15" s="3" t="str">
        <f t="shared" si="1"/>
        <v>I</v>
      </c>
      <c r="C15" s="8">
        <f t="shared" si="2"/>
        <v>28602.26</v>
      </c>
      <c r="D15" s="10" t="str">
        <f t="shared" si="3"/>
        <v>vis</v>
      </c>
      <c r="E15" s="46">
        <f>VLOOKUP(C15,A!C$21:E$973,3,FALSE)</f>
        <v>-8986.998455601972</v>
      </c>
      <c r="F15" s="3" t="s">
        <v>48</v>
      </c>
      <c r="G15" s="10" t="str">
        <f t="shared" si="4"/>
        <v>28602.26</v>
      </c>
      <c r="H15" s="8">
        <f t="shared" si="5"/>
        <v>203</v>
      </c>
      <c r="I15" s="47" t="s">
        <v>66</v>
      </c>
      <c r="J15" s="48" t="s">
        <v>67</v>
      </c>
      <c r="K15" s="47">
        <v>203</v>
      </c>
      <c r="L15" s="47" t="s">
        <v>68</v>
      </c>
      <c r="M15" s="48" t="s">
        <v>55</v>
      </c>
      <c r="N15" s="48"/>
      <c r="O15" s="49" t="s">
        <v>56</v>
      </c>
      <c r="P15" s="49" t="s">
        <v>57</v>
      </c>
    </row>
    <row r="16" spans="1:16" ht="12.75" customHeight="1" thickBot="1">
      <c r="A16" s="8" t="str">
        <f t="shared" si="0"/>
        <v> PLOU 106.6 </v>
      </c>
      <c r="B16" s="3" t="str">
        <f t="shared" si="1"/>
        <v>I</v>
      </c>
      <c r="C16" s="8">
        <f t="shared" si="2"/>
        <v>28610.24</v>
      </c>
      <c r="D16" s="10" t="str">
        <f t="shared" si="3"/>
        <v>vis</v>
      </c>
      <c r="E16" s="46">
        <f>VLOOKUP(C16,A!C$21:E$973,3,FALSE)</f>
        <v>-8983.997726063702</v>
      </c>
      <c r="F16" s="3" t="s">
        <v>48</v>
      </c>
      <c r="G16" s="10" t="str">
        <f t="shared" si="4"/>
        <v>28610.24</v>
      </c>
      <c r="H16" s="8">
        <f t="shared" si="5"/>
        <v>206</v>
      </c>
      <c r="I16" s="47" t="s">
        <v>69</v>
      </c>
      <c r="J16" s="48" t="s">
        <v>70</v>
      </c>
      <c r="K16" s="47">
        <v>206</v>
      </c>
      <c r="L16" s="47" t="s">
        <v>71</v>
      </c>
      <c r="M16" s="48" t="s">
        <v>55</v>
      </c>
      <c r="N16" s="48"/>
      <c r="O16" s="49" t="s">
        <v>56</v>
      </c>
      <c r="P16" s="49" t="s">
        <v>57</v>
      </c>
    </row>
    <row r="17" spans="2:6" ht="12.75">
      <c r="B17" s="3"/>
      <c r="E17" s="46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