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<sst xmlns="http://schemas.openxmlformats.org/spreadsheetml/2006/main" count="89" uniqueCount="75">
  <si>
    <t xml:space="preserve">EN Pup / GSC 6548-3365               </t>
  </si>
  <si>
    <t xml:space="preserve">EW        </t>
  </si>
  <si>
    <t>System Type:</t>
  </si>
  <si>
    <t>Kreiner Eph.</t>
  </si>
  <si>
    <t>J.M. Kreiner, 2004, Acta Astronomica, vol. 54, pp 207-210.</t>
  </si>
  <si>
    <t>--- Working ----</t>
  </si>
  <si>
    <t>Epoch =</t>
  </si>
  <si>
    <t>Period =</t>
  </si>
  <si>
    <t>My time zone &gt;&gt;&gt;&gt;&gt;</t>
  </si>
  <si>
    <t>(PST=8, PDT=MDT=7, MDT=CST=6, etc.)</t>
  </si>
  <si>
    <t>Linear</t>
  </si>
  <si>
    <t>Quadratic</t>
  </si>
  <si>
    <t>LS Intercept =</t>
  </si>
  <si>
    <t>LS Slope =</t>
  </si>
  <si>
    <t>LS Quadr term =</t>
  </si>
  <si>
    <t>na</t>
  </si>
  <si>
    <t>New epoch =</t>
  </si>
  <si>
    <t>JD today</t>
  </si>
  <si>
    <t>New Period =</t>
  </si>
  <si>
    <t>New Cycle</t>
  </si>
  <si>
    <t># of data points:</t>
  </si>
  <si>
    <t>Next ToM</t>
  </si>
  <si>
    <t>New Ephemeris =</t>
  </si>
  <si>
    <t>Local time</t>
  </si>
  <si>
    <t>Start of linear fit &gt;&gt;&gt;&gt;&gt;&gt;&gt;&gt;&gt;&gt;&gt;&gt;&gt;&gt;&gt;&gt;&gt;&gt;&gt;&gt;&gt;</t>
  </si>
  <si>
    <t>Source</t>
  </si>
  <si>
    <t>Typ</t>
  </si>
  <si>
    <t>ToM</t>
  </si>
  <si>
    <t>error</t>
  </si>
  <si>
    <t>n'</t>
  </si>
  <si>
    <t>n</t>
  </si>
  <si>
    <t>O-C</t>
  </si>
  <si>
    <t>Kreiner</t>
  </si>
  <si>
    <t>IBVS</t>
  </si>
  <si>
    <t>S3</t>
  </si>
  <si>
    <t>S4</t>
  </si>
  <si>
    <t>S5</t>
  </si>
  <si>
    <t>S6</t>
  </si>
  <si>
    <t>Misc</t>
  </si>
  <si>
    <t>Lin Fit</t>
  </si>
  <si>
    <t>Q. Fit</t>
  </si>
  <si>
    <t>Date</t>
  </si>
  <si>
    <t>I</t>
  </si>
  <si>
    <t>IBVS 5502</t>
  </si>
  <si>
    <t>IBVS 5843</t>
  </si>
  <si>
    <t>OEJV 0211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</si>
  <si>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</si>
  <si>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</si>
  <si>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</si>
  <si>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</si>
  <si>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</si>
  <si>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</si>
  <si>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</si>
  <si>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</si>
  <si>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</si>
  <si>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</si>
  <si>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</si>
  <si>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2452956.9100 </t>
  </si>
  <si>
    <t> 13.11.2003 09:50 </t>
  </si>
  <si>
    <t> -0.0527 </t>
  </si>
  <si>
    <t>E </t>
  </si>
  <si>
    <t>?</t>
  </si>
  <si>
    <t> S.Dvorak </t>
  </si>
  <si>
    <t>IBVS 5502 </t>
  </si>
  <si>
    <t>2454119.7125 </t>
  </si>
  <si>
    <t> 19.01.2007 05:06 </t>
  </si>
  <si>
    <t> -0.0694 </t>
  </si>
  <si>
    <t>C </t>
  </si>
  <si>
    <t>-I</t>
  </si>
  <si>
    <t> W.Ogloza et al. </t>
  </si>
  <si>
    <t>IBVS 5843 </t>
  </si>
  <si>
    <t>2454120.7216 </t>
  </si>
  <si>
    <t> 20.01.2007 05:19 </t>
  </si>
  <si>
    <t>41382.5</t>
  </si>
  <si>
    <t> -0.0685 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</si>
</sst>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\$#,##0_);&quot;($&quot;#,##0\)"/>
    <numFmt numFmtId="165" formatCode="m/d/yyyy\ h:mm"/>
    <numFmt numFmtId="166" formatCode="m/d/yyyy"/>
    <numFmt numFmtId="167" formatCode="dd/mm/yyyy"/>
  </numFmts>
  <fonts count="48">
    <font>
      <sz val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sz val="10"/>
      <color indexed="8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6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7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3" fontId="0" fillId="0" borderId="0" applyFill="0" applyBorder="0" applyProtection="0">
      <alignment vertical="top"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Border="0" applyProtection="0">
      <alignment vertical="top"/>
    </xf>
    <xf numFmtId="0" fontId="0" fillId="0" borderId="0" applyFill="0" applyBorder="0" applyProtection="0">
      <alignment vertical="top"/>
    </xf>
    <xf numFmtId="0" fontId="36" fillId="0" borderId="0" applyNumberFormat="0" applyFill="0" applyBorder="0" applyAlignment="0" applyProtection="0"/>
    <xf numFmtId="2" fontId="0" fillId="0" borderId="0" applyFill="0" applyBorder="0" applyProtection="0">
      <alignment vertical="top"/>
    </xf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Protection="0">
      <alignment vertical="top"/>
    </xf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1">
    <xf numFmtId="0" fontId="0" fillId="0" borderId="0" xfId="0" applyAlignment="1">
      <alignment vertical="top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vertical="top"/>
    </xf>
    <xf numFmtId="0" fontId="3" fillId="0" borderId="0" xfId="0" applyFont="1" applyAlignment="1">
      <alignment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0" fillId="0" borderId="13" xfId="0" applyFont="1" applyBorder="1" applyAlignment="1">
      <alignment horizont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/>
    </xf>
    <xf numFmtId="0" fontId="2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6" fillId="0" borderId="0" xfId="0" applyFont="1" applyAlignment="1">
      <alignment vertical="top"/>
    </xf>
    <xf numFmtId="165" fontId="5" fillId="0" borderId="0" xfId="0" applyNumberFormat="1" applyFont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5" fillId="0" borderId="0" xfId="0" applyFont="1" applyAlignment="1">
      <alignment horizontal="right"/>
    </xf>
    <xf numFmtId="0" fontId="6" fillId="0" borderId="0" xfId="0" applyFont="1" applyAlignment="1">
      <alignment vertical="top"/>
    </xf>
    <xf numFmtId="0" fontId="3" fillId="0" borderId="0" xfId="0" applyFont="1" applyAlignment="1">
      <alignment horizontal="left"/>
    </xf>
    <xf numFmtId="0" fontId="2" fillId="0" borderId="13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vertical="top"/>
    </xf>
    <xf numFmtId="0" fontId="9" fillId="0" borderId="0" xfId="0" applyFont="1" applyAlignment="1">
      <alignment horizontal="center"/>
    </xf>
    <xf numFmtId="0" fontId="9" fillId="0" borderId="0" xfId="60" applyFont="1">
      <alignment/>
      <protection/>
    </xf>
    <xf numFmtId="0" fontId="9" fillId="0" borderId="0" xfId="60" applyFont="1" applyAlignment="1">
      <alignment horizontal="center"/>
      <protection/>
    </xf>
    <xf numFmtId="0" fontId="9" fillId="0" borderId="0" xfId="60" applyFont="1" applyAlignment="1">
      <alignment horizontal="left"/>
      <protection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vertical="top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vertical="top"/>
    </xf>
    <xf numFmtId="0" fontId="12" fillId="0" borderId="0" xfId="56" applyNumberFormat="1" applyFont="1" applyFill="1" applyBorder="1" applyAlignment="1" applyProtection="1">
      <alignment horizontal="left"/>
      <protection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vertical="top"/>
    </xf>
    <xf numFmtId="0" fontId="7" fillId="33" borderId="20" xfId="0" applyFont="1" applyFill="1" applyBorder="1" applyAlignment="1">
      <alignment horizontal="left" vertical="top" wrapText="1" indent="1"/>
    </xf>
    <xf numFmtId="0" fontId="7" fillId="33" borderId="20" xfId="0" applyFont="1" applyFill="1" applyBorder="1" applyAlignment="1">
      <alignment horizontal="center" vertical="top" wrapText="1"/>
    </xf>
    <xf numFmtId="0" fontId="7" fillId="33" borderId="20" xfId="0" applyFont="1" applyFill="1" applyBorder="1" applyAlignment="1">
      <alignment horizontal="right" vertical="top" wrapText="1"/>
    </xf>
    <xf numFmtId="0" fontId="12" fillId="33" borderId="20" xfId="56" applyNumberFormat="1" applyFont="1" applyFill="1" applyBorder="1" applyAlignment="1" applyProtection="1">
      <alignment horizontal="right" vertical="top" wrapText="1"/>
      <protection/>
    </xf>
    <xf numFmtId="167" fontId="0" fillId="0" borderId="0" xfId="0" applyNumberFormat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_A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 Pup - O-C Diagr.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25"/>
          <c:y val="0.18775"/>
          <c:w val="0.90775"/>
          <c:h val="0.68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Kreiner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A!$F$21:$F$25</c:f>
              <c:numCache/>
            </c:numRef>
          </c:xVal>
          <c:yVal>
            <c:numRef>
              <c:f>A!$H$21:$H$25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A!$F$21:$F$25</c:f>
              <c:numCache/>
            </c:numRef>
          </c:xVal>
          <c:yVal>
            <c:numRef>
              <c:f>A!$I$21:$I$25</c:f>
              <c:numCache/>
            </c:numRef>
          </c:yVal>
          <c:smooth val="0"/>
        </c:ser>
        <c:ser>
          <c:idx val="2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xVal>
            <c:numRef>
              <c:f>A!$F$21:$F$25</c:f>
              <c:numCache/>
            </c:numRef>
          </c:xVal>
          <c:yVal>
            <c:numRef>
              <c:f>A!$J$21:$J$25</c:f>
              <c:numCache/>
            </c:numRef>
          </c:yVal>
          <c:smooth val="0"/>
        </c:ser>
        <c:ser>
          <c:idx val="3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A!$F$21:$F$25</c:f>
              <c:numCache/>
            </c:numRef>
          </c:xVal>
          <c:yVal>
            <c:numRef>
              <c:f>A!$K$21:$K$25</c:f>
              <c:numCache/>
            </c:numRef>
          </c:yVal>
          <c:smooth val="0"/>
        </c:ser>
        <c:ser>
          <c:idx val="4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A!$F$21:$F$25</c:f>
              <c:numCache/>
            </c:numRef>
          </c:xVal>
          <c:yVal>
            <c:numRef>
              <c:f>A!$L$21:$L$25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A!$F$21:$F$25</c:f>
              <c:numCache/>
            </c:numRef>
          </c:xVal>
          <c:yVal>
            <c:numRef>
              <c:f>A!$M$21:$M$25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A!$F$21:$F$25</c:f>
              <c:numCache/>
            </c:numRef>
          </c:xVal>
          <c:yVal>
            <c:numRef>
              <c:f>A!$N$21:$N$25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A!$F$21:$F$25</c:f>
              <c:numCache/>
            </c:numRef>
          </c:xVal>
          <c:yVal>
            <c:numRef>
              <c:f>A!$O$21:$O$25</c:f>
              <c:numCache/>
            </c:numRef>
          </c:yVal>
          <c:smooth val="0"/>
        </c:ser>
        <c:axId val="23974273"/>
        <c:axId val="14441866"/>
      </c:scatterChart>
      <c:valAx>
        <c:axId val="239742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441866"/>
        <c:crossesAt val="0"/>
        <c:crossBetween val="midCat"/>
        <c:dispUnits/>
      </c:valAx>
      <c:valAx>
        <c:axId val="144418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974273"/>
        <c:crossesAt val="0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1675"/>
          <c:y val="0.926"/>
          <c:w val="0.66875"/>
          <c:h val="0.0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16</xdr:col>
      <xdr:colOff>133350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743325" y="0"/>
        <a:ext cx="641032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onkoly.hu/cgi-bin/IBVS?5502" TargetMode="External" /><Relationship Id="rId2" Type="http://schemas.openxmlformats.org/officeDocument/2006/relationships/hyperlink" Target="http://www.konkoly.hu/cgi-bin/IBVS?5843" TargetMode="External" /><Relationship Id="rId3" Type="http://schemas.openxmlformats.org/officeDocument/2006/relationships/hyperlink" Target="http://www.konkoly.hu/cgi-bin/IBVS?584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PageLayoutView="0" workbookViewId="0" topLeftCell="A1">
      <selection activeCell="E12" sqref="E12"/>
    </sheetView>
  </sheetViews>
  <sheetFormatPr defaultColWidth="10.28125" defaultRowHeight="12.75"/>
  <cols>
    <col min="1" max="1" width="14.421875" style="1" customWidth="1"/>
    <col min="2" max="2" width="3.8515625" style="1" customWidth="1"/>
    <col min="3" max="3" width="11.8515625" style="1" customWidth="1"/>
    <col min="4" max="4" width="9.421875" style="1" customWidth="1"/>
    <col min="5" max="5" width="16.57421875" style="1" customWidth="1"/>
    <col min="6" max="6" width="10.28125" style="1" customWidth="1"/>
    <col min="7" max="7" width="8.140625" style="1" customWidth="1"/>
    <col min="8" max="14" width="8.57421875" style="1" customWidth="1"/>
    <col min="15" max="15" width="8.00390625" style="1" customWidth="1"/>
    <col min="16" max="16" width="7.7109375" style="1" customWidth="1"/>
    <col min="17" max="17" width="9.8515625" style="1" customWidth="1"/>
    <col min="18" max="16384" width="10.28125" style="1" customWidth="1"/>
  </cols>
  <sheetData>
    <row r="1" spans="1:8" ht="20.25">
      <c r="A1" s="2" t="s">
        <v>0</v>
      </c>
      <c r="F1" s="3">
        <v>52500.185</v>
      </c>
      <c r="G1" s="3">
        <v>0.6721432</v>
      </c>
      <c r="H1" s="3" t="s">
        <v>1</v>
      </c>
    </row>
    <row r="2" spans="1:4" ht="12.75">
      <c r="A2" s="1" t="s">
        <v>2</v>
      </c>
      <c r="B2" s="1" t="str">
        <f>H1</f>
        <v>EW        </v>
      </c>
      <c r="C2" s="3"/>
      <c r="D2" s="3"/>
    </row>
    <row r="4" spans="1:4" ht="12.75">
      <c r="A4" s="4" t="s">
        <v>3</v>
      </c>
      <c r="C4" s="5">
        <f>F1</f>
        <v>52500.185</v>
      </c>
      <c r="D4" s="6">
        <f>G1</f>
        <v>0.6721432</v>
      </c>
    </row>
    <row r="5" ht="12.75">
      <c r="C5" s="7" t="s">
        <v>4</v>
      </c>
    </row>
    <row r="6" ht="12.75">
      <c r="A6" s="4" t="s">
        <v>5</v>
      </c>
    </row>
    <row r="7" spans="1:3" ht="12.75">
      <c r="A7" s="1" t="s">
        <v>6</v>
      </c>
      <c r="C7" s="1">
        <f>C4</f>
        <v>52500.185</v>
      </c>
    </row>
    <row r="8" spans="1:4" ht="12.75">
      <c r="A8" s="1" t="s">
        <v>7</v>
      </c>
      <c r="C8" s="1">
        <f>D4</f>
        <v>0.6721432</v>
      </c>
      <c r="D8" s="8"/>
    </row>
    <row r="9" spans="1:5" ht="12.75">
      <c r="A9" s="9" t="s">
        <v>8</v>
      </c>
      <c r="B9"/>
      <c r="C9" s="10">
        <v>-9.5</v>
      </c>
      <c r="D9" t="s">
        <v>9</v>
      </c>
      <c r="E9"/>
    </row>
    <row r="10" spans="1:5" ht="12.75">
      <c r="A10"/>
      <c r="B10"/>
      <c r="C10" s="11" t="s">
        <v>10</v>
      </c>
      <c r="D10" s="11" t="s">
        <v>11</v>
      </c>
      <c r="E10"/>
    </row>
    <row r="11" spans="1:7" ht="12.75">
      <c r="A11" t="s">
        <v>12</v>
      </c>
      <c r="B11"/>
      <c r="C11" s="12">
        <f ca="1">INTERCEPT(INDIRECT($G$11):G975,INDIRECT($F$11):F975)</f>
        <v>-0.00260810680689238</v>
      </c>
      <c r="D11" s="3"/>
      <c r="E11"/>
      <c r="F11" s="13" t="str">
        <f>"F"&amp;E19</f>
        <v>F21</v>
      </c>
      <c r="G11" s="14" t="str">
        <f>"G"&amp;E19</f>
        <v>G21</v>
      </c>
    </row>
    <row r="12" spans="1:5" ht="12.75">
      <c r="A12" t="s">
        <v>13</v>
      </c>
      <c r="B12"/>
      <c r="C12" s="12">
        <f ca="1">SLOPE(INDIRECT($G$11):G975,INDIRECT($F$11):F975)</f>
        <v>2.6051586984548334E-06</v>
      </c>
      <c r="D12" s="3"/>
      <c r="E12"/>
    </row>
    <row r="13" spans="1:5" ht="12.75">
      <c r="A13" t="s">
        <v>14</v>
      </c>
      <c r="B13"/>
      <c r="C13" s="3" t="s">
        <v>15</v>
      </c>
      <c r="D13" s="3"/>
      <c r="E13"/>
    </row>
    <row r="14" spans="1:5" ht="12.75">
      <c r="A14"/>
      <c r="B14"/>
      <c r="C14"/>
      <c r="D14"/>
      <c r="E14"/>
    </row>
    <row r="15" spans="1:5" ht="12.75">
      <c r="A15" s="15" t="s">
        <v>16</v>
      </c>
      <c r="B15"/>
      <c r="C15" s="16">
        <f>(C7+C11)+(C8+C12)*INT(MAX(F21:F3516))</f>
        <v>58084.36974115166</v>
      </c>
      <c r="D15" s="17" t="s">
        <v>17</v>
      </c>
      <c r="E15" s="12">
        <f ca="1">TODAY()+15018.5-B9/24</f>
        <v>59906.5</v>
      </c>
    </row>
    <row r="16" spans="1:5" ht="12.75">
      <c r="A16" s="15" t="s">
        <v>18</v>
      </c>
      <c r="B16"/>
      <c r="C16" s="16">
        <f>+C8+C12</f>
        <v>0.6721458051586985</v>
      </c>
      <c r="D16" s="17" t="s">
        <v>19</v>
      </c>
      <c r="E16" s="12">
        <f>ROUND(2*(E15-C15)/C16,0)/2+1</f>
        <v>2712</v>
      </c>
    </row>
    <row r="17" spans="1:5" ht="12.75">
      <c r="A17" s="17" t="s">
        <v>20</v>
      </c>
      <c r="B17"/>
      <c r="C17">
        <f>COUNT(C21:C2174)</f>
        <v>5</v>
      </c>
      <c r="D17" s="17" t="s">
        <v>21</v>
      </c>
      <c r="E17" s="18">
        <f>+C15+C16*E16-15018.5-C9/24</f>
        <v>44889.124998075386</v>
      </c>
    </row>
    <row r="18" spans="1:5" ht="12.75">
      <c r="A18" s="15" t="s">
        <v>22</v>
      </c>
      <c r="B18"/>
      <c r="C18" s="19">
        <f>+C15</f>
        <v>58084.36974115166</v>
      </c>
      <c r="D18" s="20">
        <f>+C16</f>
        <v>0.6721458051586985</v>
      </c>
      <c r="E18" s="21" t="s">
        <v>23</v>
      </c>
    </row>
    <row r="19" spans="1:5" ht="12.75">
      <c r="A19" s="22" t="s">
        <v>24</v>
      </c>
      <c r="E19" s="23">
        <v>21</v>
      </c>
    </row>
    <row r="20" spans="1:17" ht="12.75">
      <c r="A20" s="11" t="s">
        <v>25</v>
      </c>
      <c r="B20" s="11" t="s">
        <v>26</v>
      </c>
      <c r="C20" s="11" t="s">
        <v>27</v>
      </c>
      <c r="D20" s="11" t="s">
        <v>28</v>
      </c>
      <c r="E20" s="11" t="s">
        <v>29</v>
      </c>
      <c r="F20" s="11" t="s">
        <v>30</v>
      </c>
      <c r="G20" s="11" t="s">
        <v>31</v>
      </c>
      <c r="H20" s="24" t="s">
        <v>32</v>
      </c>
      <c r="I20" s="24" t="s">
        <v>33</v>
      </c>
      <c r="J20" s="24" t="s">
        <v>34</v>
      </c>
      <c r="K20" s="24" t="s">
        <v>35</v>
      </c>
      <c r="L20" s="24" t="s">
        <v>36</v>
      </c>
      <c r="M20" s="24" t="s">
        <v>37</v>
      </c>
      <c r="N20" s="24" t="s">
        <v>38</v>
      </c>
      <c r="O20" s="24" t="s">
        <v>39</v>
      </c>
      <c r="P20" s="24" t="s">
        <v>40</v>
      </c>
      <c r="Q20" s="11" t="s">
        <v>41</v>
      </c>
    </row>
    <row r="21" spans="1:17" ht="12.75">
      <c r="A21" s="25" t="s">
        <v>32</v>
      </c>
      <c r="B21" s="26" t="s">
        <v>42</v>
      </c>
      <c r="C21" s="25">
        <v>52500.185</v>
      </c>
      <c r="D21" s="27"/>
      <c r="E21" s="1">
        <f>+(C21-C$7)/C$8</f>
        <v>0</v>
      </c>
      <c r="F21" s="1">
        <f>ROUND(2*E21,0)/2</f>
        <v>0</v>
      </c>
      <c r="G21" s="1">
        <f>+C21-(C$7+F21*C$8)</f>
        <v>0</v>
      </c>
      <c r="H21" s="1">
        <f>+G21</f>
        <v>0</v>
      </c>
      <c r="O21" s="1">
        <f>+C$11+C$12*$F21</f>
        <v>-0.00260810680689238</v>
      </c>
      <c r="Q21" s="50">
        <f>+C21-15018.5</f>
        <v>37481.685</v>
      </c>
    </row>
    <row r="22" spans="1:17" ht="12.75">
      <c r="A22" s="28" t="s">
        <v>43</v>
      </c>
      <c r="B22" s="29" t="s">
        <v>42</v>
      </c>
      <c r="C22" s="30">
        <v>52956.91</v>
      </c>
      <c r="D22" s="31">
        <v>0.0004</v>
      </c>
      <c r="E22" s="1">
        <f>+(C22-C$7)/C$8</f>
        <v>679.5054982331233</v>
      </c>
      <c r="F22" s="1">
        <f>ROUND(2*E22,0)/2</f>
        <v>679.5</v>
      </c>
      <c r="G22" s="1">
        <f>+C22-(C$7+F22*C$8)</f>
        <v>0.0036956000039936043</v>
      </c>
      <c r="I22" s="1">
        <f>+G22</f>
        <v>0.0036956000039936043</v>
      </c>
      <c r="O22" s="1">
        <f>+C$11+C$12*$F22</f>
        <v>-0.0008379014712923208</v>
      </c>
      <c r="Q22" s="50">
        <f>+C22-15018.5</f>
        <v>37938.41</v>
      </c>
    </row>
    <row r="23" spans="1:17" ht="12.75">
      <c r="A23" s="32" t="s">
        <v>44</v>
      </c>
      <c r="B23" s="33" t="s">
        <v>42</v>
      </c>
      <c r="C23" s="27">
        <v>54119.7125</v>
      </c>
      <c r="D23" s="27">
        <v>0.0013</v>
      </c>
      <c r="E23" s="1">
        <f>+(C23-C$7)/C$8</f>
        <v>2409.497708226467</v>
      </c>
      <c r="F23" s="1">
        <f>ROUND(2*E23,0)/2</f>
        <v>2409.5</v>
      </c>
      <c r="G23" s="1">
        <f>+C23-(C$7+F23*C$8)</f>
        <v>-0.0015403999932459556</v>
      </c>
      <c r="I23" s="1">
        <f>+G23</f>
        <v>-0.0015403999932459556</v>
      </c>
      <c r="O23" s="1">
        <f>+C$11+C$12*$F23</f>
        <v>0.0036690230770345406</v>
      </c>
      <c r="Q23" s="50">
        <f>+C23-15018.5</f>
        <v>39101.2125</v>
      </c>
    </row>
    <row r="24" spans="1:17" ht="12.75">
      <c r="A24" s="32" t="s">
        <v>44</v>
      </c>
      <c r="B24" s="33" t="s">
        <v>42</v>
      </c>
      <c r="C24" s="27">
        <v>54120.7216</v>
      </c>
      <c r="D24" s="27">
        <v>0.0006</v>
      </c>
      <c r="E24" s="1">
        <f>+(C24-C$7)/C$8</f>
        <v>2410.9990252077228</v>
      </c>
      <c r="F24" s="1">
        <f>ROUND(2*E24,0)/2</f>
        <v>2411</v>
      </c>
      <c r="G24" s="1">
        <f>+C24-(C$7+F24*C$8)</f>
        <v>-0.0006551999977091327</v>
      </c>
      <c r="I24" s="1">
        <f>+G24</f>
        <v>-0.0006551999977091327</v>
      </c>
      <c r="O24" s="1">
        <f>+C$11+C$12*$F24</f>
        <v>0.0036729308150822235</v>
      </c>
      <c r="Q24" s="50">
        <f>+C24-15018.5</f>
        <v>39102.2216</v>
      </c>
    </row>
    <row r="25" spans="1:17" ht="12.75">
      <c r="A25" s="34" t="s">
        <v>45</v>
      </c>
      <c r="B25" s="35" t="s">
        <v>42</v>
      </c>
      <c r="C25" s="36">
        <v>58084.70820999984</v>
      </c>
      <c r="D25" s="36">
        <v>0.0003</v>
      </c>
      <c r="E25" s="1">
        <f>+(C25-C$7)/C$8</f>
        <v>8308.531887252359</v>
      </c>
      <c r="F25" s="1">
        <f>ROUND(2*E25,0)/2</f>
        <v>8308.5</v>
      </c>
      <c r="G25" s="1">
        <f>+C25-(C$7+F25*C$8)</f>
        <v>0.021432799840113148</v>
      </c>
      <c r="I25" s="1">
        <f>+G25</f>
        <v>0.021432799840113148</v>
      </c>
      <c r="O25" s="1">
        <f>+C$11+C$12*$F25</f>
        <v>0.0190368542392196</v>
      </c>
      <c r="Q25" s="50">
        <f>+C25-15018.5</f>
        <v>43066.20820999984</v>
      </c>
    </row>
    <row r="26" ht="12.75">
      <c r="Q26" s="50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19.7109375" style="37" customWidth="1"/>
    <col min="2" max="2" width="4.421875" style="0" customWidth="1"/>
    <col min="3" max="3" width="12.7109375" style="37" customWidth="1"/>
    <col min="4" max="4" width="5.421875" style="0" customWidth="1"/>
    <col min="5" max="5" width="14.8515625" style="0" customWidth="1"/>
    <col min="7" max="7" width="12.00390625" style="0" customWidth="1"/>
    <col min="8" max="8" width="14.140625" style="37" customWidth="1"/>
    <col min="9" max="9" width="22.57421875" style="0" customWidth="1"/>
    <col min="10" max="10" width="25.140625" style="0" customWidth="1"/>
    <col min="11" max="11" width="15.7109375" style="0" customWidth="1"/>
    <col min="12" max="12" width="14.140625" style="0" customWidth="1"/>
    <col min="13" max="13" width="9.57421875" style="0" customWidth="1"/>
    <col min="14" max="14" width="14.140625" style="0" customWidth="1"/>
    <col min="15" max="15" width="23.421875" style="0" customWidth="1"/>
    <col min="16" max="16" width="16.57421875" style="0" customWidth="1"/>
    <col min="17" max="17" width="41.00390625" style="0" customWidth="1"/>
  </cols>
  <sheetData>
    <row r="1" spans="1:10" ht="15.75">
      <c r="A1" s="38" t="s">
        <v>46</v>
      </c>
      <c r="I1" s="39" t="s">
        <v>47</v>
      </c>
      <c r="J1" s="40" t="s">
        <v>48</v>
      </c>
    </row>
    <row r="2" spans="9:10" ht="12.75">
      <c r="I2" s="41" t="s">
        <v>49</v>
      </c>
      <c r="J2" s="42" t="s">
        <v>50</v>
      </c>
    </row>
    <row r="3" spans="1:10" ht="12.75">
      <c r="A3" s="43" t="s">
        <v>51</v>
      </c>
      <c r="I3" s="41" t="s">
        <v>52</v>
      </c>
      <c r="J3" s="42" t="s">
        <v>53</v>
      </c>
    </row>
    <row r="4" spans="9:10" ht="12.75">
      <c r="I4" s="41" t="s">
        <v>54</v>
      </c>
      <c r="J4" s="42" t="s">
        <v>53</v>
      </c>
    </row>
    <row r="5" spans="9:10" ht="12.75">
      <c r="I5" s="44" t="s">
        <v>55</v>
      </c>
      <c r="J5" s="45" t="s">
        <v>56</v>
      </c>
    </row>
    <row r="11" spans="1:16" ht="12.75" customHeight="1">
      <c r="A11" s="37" t="str">
        <f>P11</f>
        <v>IBVS 5502 </v>
      </c>
      <c r="B11" s="3" t="str">
        <f>IF(H11=INT(H11),"I","II")</f>
        <v>I</v>
      </c>
      <c r="C11" s="37">
        <f>1*G11</f>
        <v>52956.91</v>
      </c>
      <c r="D11" t="str">
        <f>VLOOKUP(F11,I$1:J$5,2,FALSE)</f>
        <v>vis</v>
      </c>
      <c r="E11">
        <f>VLOOKUP(C11,A!C$21:E$973,3,FALSE)</f>
        <v>679.5054982331233</v>
      </c>
      <c r="F11" s="3" t="s">
        <v>55</v>
      </c>
      <c r="G11" t="str">
        <f>MID(I11,3,LEN(I11)-3)</f>
        <v>52956.9100</v>
      </c>
      <c r="H11" s="37">
        <f>1*K11</f>
        <v>39651</v>
      </c>
      <c r="I11" s="46" t="s">
        <v>57</v>
      </c>
      <c r="J11" s="47" t="s">
        <v>58</v>
      </c>
      <c r="K11" s="46">
        <v>39651</v>
      </c>
      <c r="L11" s="46" t="s">
        <v>59</v>
      </c>
      <c r="M11" s="47" t="s">
        <v>60</v>
      </c>
      <c r="N11" s="47" t="s">
        <v>61</v>
      </c>
      <c r="O11" s="48" t="s">
        <v>62</v>
      </c>
      <c r="P11" s="49" t="s">
        <v>63</v>
      </c>
    </row>
    <row r="12" spans="1:16" ht="12.75" customHeight="1">
      <c r="A12" s="37" t="str">
        <f>P12</f>
        <v>IBVS 5843 </v>
      </c>
      <c r="B12" s="3" t="str">
        <f>IF(H12=INT(H12),"I","II")</f>
        <v>I</v>
      </c>
      <c r="C12" s="37">
        <f>1*G12</f>
        <v>54119.7125</v>
      </c>
      <c r="D12" t="str">
        <f>VLOOKUP(F12,I$1:J$5,2,FALSE)</f>
        <v>vis</v>
      </c>
      <c r="E12">
        <f>VLOOKUP(C12,A!C$21:E$973,3,FALSE)</f>
        <v>2409.497708226467</v>
      </c>
      <c r="F12" s="3" t="s">
        <v>55</v>
      </c>
      <c r="G12" t="str">
        <f>MID(I12,3,LEN(I12)-3)</f>
        <v>54119.7125</v>
      </c>
      <c r="H12" s="37">
        <f>1*K12</f>
        <v>41381</v>
      </c>
      <c r="I12" s="46" t="s">
        <v>64</v>
      </c>
      <c r="J12" s="47" t="s">
        <v>65</v>
      </c>
      <c r="K12" s="46">
        <v>41381</v>
      </c>
      <c r="L12" s="46" t="s">
        <v>66</v>
      </c>
      <c r="M12" s="47" t="s">
        <v>67</v>
      </c>
      <c r="N12" s="47" t="s">
        <v>68</v>
      </c>
      <c r="O12" s="48" t="s">
        <v>69</v>
      </c>
      <c r="P12" s="49" t="s">
        <v>70</v>
      </c>
    </row>
    <row r="13" spans="1:16" ht="12.75" customHeight="1">
      <c r="A13" s="37" t="str">
        <f>P13</f>
        <v>IBVS 5843 </v>
      </c>
      <c r="B13" s="3" t="str">
        <f>IF(H13=INT(H13),"I","II")</f>
        <v>II</v>
      </c>
      <c r="C13" s="37">
        <f>1*G13</f>
        <v>54120.7216</v>
      </c>
      <c r="D13" t="str">
        <f>VLOOKUP(F13,I$1:J$5,2,FALSE)</f>
        <v>vis</v>
      </c>
      <c r="E13">
        <f>VLOOKUP(C13,A!C$21:E$973,3,FALSE)</f>
        <v>2410.9990252077228</v>
      </c>
      <c r="F13" s="3" t="s">
        <v>55</v>
      </c>
      <c r="G13" t="str">
        <f>MID(I13,3,LEN(I13)-3)</f>
        <v>54120.7216</v>
      </c>
      <c r="H13" s="37">
        <f>1*K13</f>
        <v>41382.5</v>
      </c>
      <c r="I13" s="46" t="s">
        <v>71</v>
      </c>
      <c r="J13" s="47" t="s">
        <v>72</v>
      </c>
      <c r="K13" s="46" t="s">
        <v>73</v>
      </c>
      <c r="L13" s="46" t="s">
        <v>74</v>
      </c>
      <c r="M13" s="47" t="s">
        <v>67</v>
      </c>
      <c r="N13" s="47" t="s">
        <v>68</v>
      </c>
      <c r="O13" s="48" t="s">
        <v>69</v>
      </c>
      <c r="P13" s="49" t="s">
        <v>70</v>
      </c>
    </row>
  </sheetData>
  <sheetProtection selectLockedCells="1" selectUnlockedCells="1"/>
  <hyperlinks>
    <hyperlink ref="P11" r:id="rId1" display="IBVS 5502 "/>
    <hyperlink ref="P12" r:id="rId2" display="IBVS 5843 "/>
    <hyperlink ref="P13" r:id="rId3" display="IBVS 5843 "/>
  </hyperlinks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dcterms:modified xsi:type="dcterms:W3CDTF">2022-11-23T04:46:37Z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