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29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<sst xmlns="http://schemas.openxmlformats.org/spreadsheetml/2006/main" count="285" uniqueCount="156">
  <si>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</si>
  <si>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</si>
  <si>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</si>
  <si>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</si>
  <si>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</si>
  <si>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</si>
  <si>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</si>
  <si>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</si>
  <si>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</si>
  <si>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</si>
  <si>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</si>
  <si>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</si>
  <si>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</si>
  <si>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</si>
  <si>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</si>
  <si>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</si>
  <si>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</si>
  <si>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</si>
  <si>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</si>
  <si>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</si>
  <si>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</si>
  <si>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</si>
  <si>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</si>
  <si>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</si>
  <si>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</si>
  <si>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</si>
  <si>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</si>
  <si>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</si>
  <si>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</si>
  <si>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</si>
  <si>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</si>
  <si>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</si>
  <si>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Bull.23</t>
  </si>
  <si>
    <t>B</t>
  </si>
  <si>
    <t>BBSAG Bull.80</t>
  </si>
  <si>
    <t>BBSAG</t>
  </si>
  <si>
    <t># of data points:</t>
  </si>
  <si>
    <t>EA/SD</t>
  </si>
  <si>
    <t>AC Sct / gsc 5697-2078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</si>
  <si>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</si>
  <si>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</si>
  <si>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</si>
  <si>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</si>
  <si>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</si>
  <si>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</si>
  <si>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</si>
  <si>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</si>
  <si>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</si>
  <si>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</si>
  <si>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</si>
  <si>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</si>
  <si>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2423558.72 </t>
  </si>
  <si>
    <t> 19.05.1923 05:16 </t>
  </si>
  <si>
    <t> -0.27 </t>
  </si>
  <si>
    <t>P </t>
  </si>
  <si>
    <t> Harvard phot. </t>
  </si>
  <si>
    <t> CRAC 19 </t>
  </si>
  <si>
    <t>2423563.72 </t>
  </si>
  <si>
    <t> 24.05.1923 05:16 </t>
  </si>
  <si>
    <t> -0.07 </t>
  </si>
  <si>
    <t>2423587.67 </t>
  </si>
  <si>
    <t> 17.06.1923 04:04 </t>
  </si>
  <si>
    <t> -0.11 </t>
  </si>
  <si>
    <t>2424283.38 </t>
  </si>
  <si>
    <t> 12.05.1925 21:07 </t>
  </si>
  <si>
    <t> -0.05 </t>
  </si>
  <si>
    <t>V </t>
  </si>
  <si>
    <t> K.Kordylewski </t>
  </si>
  <si>
    <t>2424307.36 </t>
  </si>
  <si>
    <t> 05.06.1925 20:38 </t>
  </si>
  <si>
    <t>2424350.558 </t>
  </si>
  <si>
    <t> 19.07.1925 01:23 </t>
  </si>
  <si>
    <t> -0.034 </t>
  </si>
  <si>
    <t>2424710.388 </t>
  </si>
  <si>
    <t> 13.07.1926 21:18 </t>
  </si>
  <si>
    <t> -0.023 </t>
  </si>
  <si>
    <t> AA 26.343 </t>
  </si>
  <si>
    <t>2424729.573 </t>
  </si>
  <si>
    <t> 02.08.1926 01:45 </t>
  </si>
  <si>
    <t> -0.028 </t>
  </si>
  <si>
    <t> W.Zessewitsch </t>
  </si>
  <si>
    <t> IODE 4.2.360 </t>
  </si>
  <si>
    <t>2425852.224 </t>
  </si>
  <si>
    <t> 28.08.1929 17:22 </t>
  </si>
  <si>
    <t> -0.012 </t>
  </si>
  <si>
    <t> AAC 1.164 </t>
  </si>
  <si>
    <t>2426538.277 </t>
  </si>
  <si>
    <t> 15.07.1931 18:38 </t>
  </si>
  <si>
    <t> -0.014 </t>
  </si>
  <si>
    <t>2427296.290 </t>
  </si>
  <si>
    <t> 11.08.1933 18:57 </t>
  </si>
  <si>
    <t> -0.019 </t>
  </si>
  <si>
    <t>2428015.825 </t>
  </si>
  <si>
    <t> 01.08.1935 07:48 </t>
  </si>
  <si>
    <t> -0.121 </t>
  </si>
  <si>
    <t> P.T.Oosterhoff </t>
  </si>
  <si>
    <t> BAN 9.408 </t>
  </si>
  <si>
    <t>2428361.374 </t>
  </si>
  <si>
    <t> 11.07.1936 20:58 </t>
  </si>
  <si>
    <t> 0.001 </t>
  </si>
  <si>
    <t>2428668.555 </t>
  </si>
  <si>
    <t> 15.05.1937 01:19 </t>
  </si>
  <si>
    <t> 0.137 </t>
  </si>
  <si>
    <t>2429100.303 </t>
  </si>
  <si>
    <t> 20.07.1938 19:16 </t>
  </si>
  <si>
    <t> 0.103 </t>
  </si>
  <si>
    <t>2429397.540 </t>
  </si>
  <si>
    <t> 14.05.1939 00:57 </t>
  </si>
  <si>
    <t> -0.111 </t>
  </si>
  <si>
    <t>2431651.53 </t>
  </si>
  <si>
    <t> 15.07.1945 00:43 </t>
  </si>
  <si>
    <t> -0.99 </t>
  </si>
  <si>
    <t>2432357.760 </t>
  </si>
  <si>
    <t> 21.06.1947 06:14 </t>
  </si>
  <si>
    <t> 0.000 </t>
  </si>
  <si>
    <t> A.Soloviev </t>
  </si>
  <si>
    <t> PZ 12.175 </t>
  </si>
  <si>
    <t>2432362.557 </t>
  </si>
  <si>
    <t> 26.06.1947 01:22 </t>
  </si>
  <si>
    <t> -0.001 </t>
  </si>
  <si>
    <t> PZ 10.326 </t>
  </si>
  <si>
    <t>2432381.791 </t>
  </si>
  <si>
    <t> 15.07.1947 06:59 </t>
  </si>
  <si>
    <t> 0.043 </t>
  </si>
  <si>
    <t> AC 68.9 </t>
  </si>
  <si>
    <t>2432794.355 </t>
  </si>
  <si>
    <t> 30.08.1948 20:31 </t>
  </si>
  <si>
    <t> 0.015 </t>
  </si>
  <si>
    <t> A.Szczepanowska </t>
  </si>
  <si>
    <t> AAC 4.118 </t>
  </si>
  <si>
    <t>2433024.653 </t>
  </si>
  <si>
    <t> 18.04.1949 03:40 </t>
  </si>
  <si>
    <t> 0.029 </t>
  </si>
  <si>
    <t>2433437.249 </t>
  </si>
  <si>
    <t> 04.06.1950 17:58 </t>
  </si>
  <si>
    <t> 0.033 </t>
  </si>
  <si>
    <t> AAC 5.77 </t>
  </si>
  <si>
    <t>2442629.495 </t>
  </si>
  <si>
    <t> 04.08.1975 23:52 </t>
  </si>
  <si>
    <t> 0.108 </t>
  </si>
  <si>
    <t> K.Locher </t>
  </si>
  <si>
    <t> BBS 23 </t>
  </si>
  <si>
    <t>2446563.550 </t>
  </si>
  <si>
    <t> 13.05.1986 01:12 </t>
  </si>
  <si>
    <t> 0.144 </t>
  </si>
  <si>
    <t> BBS 80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</si>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</sst>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2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1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 Sct - O-C Diagr.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6"/>
          <c:w val="0.9007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29806325"/>
        <c:axId val="66930334"/>
      </c:scatterChart>
      <c:valAx>
        <c:axId val="29806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334"/>
        <c:crosses val="autoZero"/>
        <c:crossBetween val="midCat"/>
        <c:dispUnits/>
      </c:valAx>
      <c:valAx>
        <c:axId val="66930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63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425"/>
          <c:y val="0.93"/>
          <c:w val="0.935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15</xdr:col>
      <xdr:colOff>381000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371975" y="0"/>
        <a:ext cx="54197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27</v>
      </c>
      <c r="B2" s="16" t="s">
        <v>37</v>
      </c>
    </row>
    <row r="4" spans="1:4" ht="14.25" thickBot="1" thickTop="1">
      <c r="A4" s="8" t="s">
        <v>0</v>
      </c>
      <c r="C4" s="3">
        <v>28817.143</v>
      </c>
      <c r="D4" s="4">
        <v>4.797584</v>
      </c>
    </row>
    <row r="5" spans="1:4" ht="13.5" thickTop="1">
      <c r="A5" s="33" t="s">
        <v>147</v>
      </c>
      <c r="B5" s="18"/>
      <c r="C5" s="34">
        <v>-9.5</v>
      </c>
      <c r="D5" s="18" t="s">
        <v>148</v>
      </c>
    </row>
    <row r="6" ht="12.75">
      <c r="A6" s="8" t="s">
        <v>1</v>
      </c>
    </row>
    <row r="7" spans="1:3" ht="12.75">
      <c r="A7" t="s">
        <v>2</v>
      </c>
      <c r="C7">
        <f>+C4</f>
        <v>28817.143</v>
      </c>
    </row>
    <row r="8" spans="1:3" ht="12.75">
      <c r="A8" t="s">
        <v>3</v>
      </c>
      <c r="C8">
        <f>+D4</f>
        <v>4.797584</v>
      </c>
    </row>
    <row r="9" spans="1:4" ht="12.75">
      <c r="A9" s="35" t="s">
        <v>149</v>
      </c>
      <c r="B9" s="36">
        <v>21</v>
      </c>
      <c r="C9" s="37" t="str">
        <f>"F"&amp;B9</f>
        <v>F21</v>
      </c>
      <c r="D9" s="38" t="str">
        <f>"G"&amp;B9</f>
        <v>G21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 s="39">
        <f ca="1">INTERCEPT(INDIRECT($D$9):G978,INDIRECT($C$9):F978)</f>
        <v>-0.01601813425842875</v>
      </c>
      <c r="D11" s="6"/>
    </row>
    <row r="12" spans="1:4" ht="12.75">
      <c r="A12" t="s">
        <v>17</v>
      </c>
      <c r="C12" s="39">
        <f ca="1">SLOPE(INDIRECT($D$9):G978,INDIRECT($C$9):F978)</f>
        <v>4.828300909802846E-05</v>
      </c>
      <c r="D12" s="6"/>
    </row>
    <row r="13" spans="1:4" ht="12.75">
      <c r="A13" t="s">
        <v>21</v>
      </c>
      <c r="C13" s="6" t="s">
        <v>14</v>
      </c>
      <c r="D13" s="6"/>
    </row>
    <row r="14" ht="12.75">
      <c r="A14" t="s">
        <v>26</v>
      </c>
    </row>
    <row r="15" spans="1:6" ht="12.75">
      <c r="A15" s="5" t="s">
        <v>18</v>
      </c>
      <c r="C15" s="11">
        <f>(C7+C11)+(C8+C12)*INT(MAX(F21:F3533))</f>
        <v>46563.5687967164</v>
      </c>
      <c r="E15" s="40" t="s">
        <v>150</v>
      </c>
      <c r="F15" s="34">
        <v>1</v>
      </c>
    </row>
    <row r="16" spans="1:6" ht="12.75">
      <c r="A16" s="8" t="s">
        <v>4</v>
      </c>
      <c r="C16" s="12">
        <f>+C8+C12</f>
        <v>4.797632283009098</v>
      </c>
      <c r="E16" s="40" t="s">
        <v>151</v>
      </c>
      <c r="F16" s="41">
        <f ca="1">NOW()+15018.5+$C$5/24</f>
        <v>59906.784359259254</v>
      </c>
    </row>
    <row r="17" spans="1:6" ht="13.5" thickBot="1">
      <c r="A17" s="13" t="s">
        <v>36</v>
      </c>
      <c r="C17">
        <f>COUNT(C21:C2191)</f>
        <v>26</v>
      </c>
      <c r="E17" s="40" t="s">
        <v>152</v>
      </c>
      <c r="F17" s="41">
        <f>ROUND(2*(F16-$C$7)/$C$8,0)/2+F15</f>
        <v>6481.5</v>
      </c>
    </row>
    <row r="18" spans="1:6" ht="12.75">
      <c r="A18" s="8" t="s">
        <v>5</v>
      </c>
      <c r="C18" s="3">
        <f>+C15</f>
        <v>46563.5687967164</v>
      </c>
      <c r="D18" s="4">
        <f>+C16</f>
        <v>4.797632283009098</v>
      </c>
      <c r="E18" s="40" t="s">
        <v>153</v>
      </c>
      <c r="F18" s="38">
        <f>ROUND(2*(F16-$C$15)/$C$16,0)/2+F15</f>
        <v>2782</v>
      </c>
    </row>
    <row r="19" spans="5:6" ht="13.5" thickTop="1">
      <c r="E19" s="40" t="s">
        <v>154</v>
      </c>
      <c r="F19" s="42">
        <f>+$C$15+$C$16*F18-15018.5-$C$5/24</f>
        <v>44892.47764138105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35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  <c r="U20" s="43" t="s">
        <v>155</v>
      </c>
    </row>
    <row r="21" spans="1:17" ht="12.75">
      <c r="A21" s="30" t="s">
        <v>56</v>
      </c>
      <c r="B21" s="32" t="s">
        <v>146</v>
      </c>
      <c r="C21" s="31">
        <v>23558.72</v>
      </c>
      <c r="D21" s="14"/>
      <c r="E21">
        <f aca="true" t="shared" si="0" ref="E21:E46">+(C21-C$7)/C$8</f>
        <v>-1096.0564734249572</v>
      </c>
      <c r="F21">
        <f aca="true" t="shared" si="1" ref="F21:F46">ROUND(2*E21,0)/2</f>
        <v>-1096</v>
      </c>
      <c r="G21">
        <f aca="true" t="shared" si="2" ref="G21:G37">+C21-(C$7+F21*C$8)</f>
        <v>-0.27093600000080187</v>
      </c>
      <c r="K21">
        <f aca="true" t="shared" si="3" ref="K21:K34">+G21</f>
        <v>-0.27093600000080187</v>
      </c>
      <c r="O21">
        <f aca="true" t="shared" si="4" ref="O21:O46">+C$11+C$12*$F21</f>
        <v>-0.06893631222986794</v>
      </c>
      <c r="Q21" s="2">
        <f aca="true" t="shared" si="5" ref="Q21:Q46">+C21-15018.5</f>
        <v>8540.220000000001</v>
      </c>
    </row>
    <row r="22" spans="1:17" ht="12.75">
      <c r="A22" s="30" t="s">
        <v>56</v>
      </c>
      <c r="B22" s="32" t="s">
        <v>146</v>
      </c>
      <c r="C22" s="31">
        <v>23563.72</v>
      </c>
      <c r="D22" s="14"/>
      <c r="E22">
        <f t="shared" si="0"/>
        <v>-1095.0142821887016</v>
      </c>
      <c r="F22">
        <f t="shared" si="1"/>
        <v>-1095</v>
      </c>
      <c r="G22">
        <f t="shared" si="2"/>
        <v>-0.06852000000071712</v>
      </c>
      <c r="K22">
        <f t="shared" si="3"/>
        <v>-0.06852000000071712</v>
      </c>
      <c r="O22">
        <f t="shared" si="4"/>
        <v>-0.06888802922076992</v>
      </c>
      <c r="Q22" s="2">
        <f t="shared" si="5"/>
        <v>8545.220000000001</v>
      </c>
    </row>
    <row r="23" spans="1:17" ht="12.75">
      <c r="A23" s="30" t="s">
        <v>56</v>
      </c>
      <c r="B23" s="32" t="s">
        <v>146</v>
      </c>
      <c r="C23" s="31">
        <v>23587.67</v>
      </c>
      <c r="D23" s="14"/>
      <c r="E23">
        <f t="shared" si="0"/>
        <v>-1090.022186167038</v>
      </c>
      <c r="F23">
        <f t="shared" si="1"/>
        <v>-1090</v>
      </c>
      <c r="G23">
        <f t="shared" si="2"/>
        <v>-0.10644000000320375</v>
      </c>
      <c r="K23">
        <f t="shared" si="3"/>
        <v>-0.10644000000320375</v>
      </c>
      <c r="O23">
        <f t="shared" si="4"/>
        <v>-0.06864661417527977</v>
      </c>
      <c r="Q23" s="2">
        <f t="shared" si="5"/>
        <v>8569.169999999998</v>
      </c>
    </row>
    <row r="24" spans="1:17" ht="12.75">
      <c r="A24" s="30" t="s">
        <v>56</v>
      </c>
      <c r="B24" s="32" t="s">
        <v>146</v>
      </c>
      <c r="C24" s="31">
        <v>24283.38</v>
      </c>
      <c r="D24" s="14"/>
      <c r="E24">
        <f t="shared" si="0"/>
        <v>-945.0096131719631</v>
      </c>
      <c r="F24">
        <f t="shared" si="1"/>
        <v>-945</v>
      </c>
      <c r="G24">
        <f t="shared" si="2"/>
        <v>-0.04611999999906402</v>
      </c>
      <c r="K24">
        <f t="shared" si="3"/>
        <v>-0.04611999999906402</v>
      </c>
      <c r="O24">
        <f t="shared" si="4"/>
        <v>-0.06164557785606564</v>
      </c>
      <c r="Q24" s="2">
        <f t="shared" si="5"/>
        <v>9264.880000000001</v>
      </c>
    </row>
    <row r="25" spans="1:17" ht="12.75">
      <c r="A25" s="30" t="s">
        <v>56</v>
      </c>
      <c r="B25" s="32" t="s">
        <v>146</v>
      </c>
      <c r="C25" s="31">
        <v>24307.36</v>
      </c>
      <c r="D25" s="14"/>
      <c r="E25">
        <f t="shared" si="0"/>
        <v>-940.0112640028814</v>
      </c>
      <c r="F25">
        <f t="shared" si="1"/>
        <v>-940</v>
      </c>
      <c r="G25">
        <f t="shared" si="2"/>
        <v>-0.054039999999076826</v>
      </c>
      <c r="K25">
        <f t="shared" si="3"/>
        <v>-0.054039999999076826</v>
      </c>
      <c r="O25">
        <f t="shared" si="4"/>
        <v>-0.06140416281057551</v>
      </c>
      <c r="Q25" s="2">
        <f t="shared" si="5"/>
        <v>9288.86</v>
      </c>
    </row>
    <row r="26" spans="1:17" ht="12.75">
      <c r="A26" s="30" t="s">
        <v>56</v>
      </c>
      <c r="B26" s="32" t="s">
        <v>146</v>
      </c>
      <c r="C26" s="31">
        <v>24350.558</v>
      </c>
      <c r="D26" s="14"/>
      <c r="E26">
        <f t="shared" si="0"/>
        <v>-931.0071485981276</v>
      </c>
      <c r="F26">
        <f t="shared" si="1"/>
        <v>-931</v>
      </c>
      <c r="G26">
        <f t="shared" si="2"/>
        <v>-0.03429600000163191</v>
      </c>
      <c r="K26">
        <f t="shared" si="3"/>
        <v>-0.03429600000163191</v>
      </c>
      <c r="O26">
        <f t="shared" si="4"/>
        <v>-0.06096961572869325</v>
      </c>
      <c r="Q26" s="2">
        <f t="shared" si="5"/>
        <v>9332.058</v>
      </c>
    </row>
    <row r="27" spans="1:17" ht="12.75">
      <c r="A27" s="30" t="s">
        <v>76</v>
      </c>
      <c r="B27" s="32" t="s">
        <v>146</v>
      </c>
      <c r="C27" s="31">
        <v>24710.388</v>
      </c>
      <c r="D27" s="14"/>
      <c r="E27">
        <f t="shared" si="0"/>
        <v>-856.0048140897588</v>
      </c>
      <c r="F27">
        <f t="shared" si="1"/>
        <v>-856</v>
      </c>
      <c r="G27">
        <f t="shared" si="2"/>
        <v>-0.02309600000080536</v>
      </c>
      <c r="K27">
        <f t="shared" si="3"/>
        <v>-0.02309600000080536</v>
      </c>
      <c r="O27">
        <f t="shared" si="4"/>
        <v>-0.05734839004634111</v>
      </c>
      <c r="Q27" s="2">
        <f t="shared" si="5"/>
        <v>9691.887999999999</v>
      </c>
    </row>
    <row r="28" spans="1:17" ht="12.75">
      <c r="A28" s="30" t="s">
        <v>81</v>
      </c>
      <c r="B28" s="32" t="s">
        <v>146</v>
      </c>
      <c r="C28" s="31">
        <v>24729.573</v>
      </c>
      <c r="D28" s="14"/>
      <c r="E28">
        <f t="shared" si="0"/>
        <v>-852.0059263162459</v>
      </c>
      <c r="F28">
        <f t="shared" si="1"/>
        <v>-852</v>
      </c>
      <c r="G28">
        <f t="shared" si="2"/>
        <v>-0.028431999999156687</v>
      </c>
      <c r="K28">
        <f t="shared" si="3"/>
        <v>-0.028431999999156687</v>
      </c>
      <c r="O28">
        <f t="shared" si="4"/>
        <v>-0.057155258009949</v>
      </c>
      <c r="Q28" s="2">
        <f t="shared" si="5"/>
        <v>9711.073</v>
      </c>
    </row>
    <row r="29" spans="1:17" ht="12.75">
      <c r="A29" s="30" t="s">
        <v>85</v>
      </c>
      <c r="B29" s="32" t="s">
        <v>146</v>
      </c>
      <c r="C29" s="31">
        <v>25852.224</v>
      </c>
      <c r="D29" s="14"/>
      <c r="E29">
        <f t="shared" si="0"/>
        <v>-618.0025196015332</v>
      </c>
      <c r="F29">
        <f t="shared" si="1"/>
        <v>-618</v>
      </c>
      <c r="G29">
        <f t="shared" si="2"/>
        <v>-0.012088000003132038</v>
      </c>
      <c r="K29">
        <f t="shared" si="3"/>
        <v>-0.012088000003132038</v>
      </c>
      <c r="O29">
        <f t="shared" si="4"/>
        <v>-0.04585703388101034</v>
      </c>
      <c r="Q29" s="2">
        <f t="shared" si="5"/>
        <v>10833.723999999998</v>
      </c>
    </row>
    <row r="30" spans="1:17" ht="12.75">
      <c r="A30" s="30" t="s">
        <v>76</v>
      </c>
      <c r="B30" s="32" t="s">
        <v>146</v>
      </c>
      <c r="C30" s="31">
        <v>26538.277</v>
      </c>
      <c r="D30" s="14"/>
      <c r="E30">
        <f t="shared" si="0"/>
        <v>-475.002834760163</v>
      </c>
      <c r="F30">
        <f t="shared" si="1"/>
        <v>-475</v>
      </c>
      <c r="G30">
        <f t="shared" si="2"/>
        <v>-0.013600000002043089</v>
      </c>
      <c r="K30">
        <f t="shared" si="3"/>
        <v>-0.013600000002043089</v>
      </c>
      <c r="O30">
        <f t="shared" si="4"/>
        <v>-0.03895256357999227</v>
      </c>
      <c r="Q30" s="2">
        <f t="shared" si="5"/>
        <v>11519.776999999998</v>
      </c>
    </row>
    <row r="31" spans="1:17" ht="12.75">
      <c r="A31" s="30" t="s">
        <v>76</v>
      </c>
      <c r="B31" s="32" t="s">
        <v>146</v>
      </c>
      <c r="C31" s="31">
        <v>27296.29</v>
      </c>
      <c r="D31" s="14"/>
      <c r="E31">
        <f t="shared" si="0"/>
        <v>-317.003933646602</v>
      </c>
      <c r="F31">
        <f t="shared" si="1"/>
        <v>-317</v>
      </c>
      <c r="G31">
        <f t="shared" si="2"/>
        <v>-0.018872000000556</v>
      </c>
      <c r="K31">
        <f t="shared" si="3"/>
        <v>-0.018872000000556</v>
      </c>
      <c r="O31">
        <f t="shared" si="4"/>
        <v>-0.031323848142503774</v>
      </c>
      <c r="Q31" s="2">
        <f t="shared" si="5"/>
        <v>12277.79</v>
      </c>
    </row>
    <row r="32" spans="1:17" ht="12.75">
      <c r="A32" s="30" t="s">
        <v>96</v>
      </c>
      <c r="B32" s="32" t="s">
        <v>146</v>
      </c>
      <c r="C32" s="31">
        <v>28015.825</v>
      </c>
      <c r="D32" s="14"/>
      <c r="E32">
        <f t="shared" si="0"/>
        <v>-167.02531941076995</v>
      </c>
      <c r="F32">
        <f t="shared" si="1"/>
        <v>-167</v>
      </c>
      <c r="G32">
        <f t="shared" si="2"/>
        <v>-0.1214719999989029</v>
      </c>
      <c r="K32">
        <f t="shared" si="3"/>
        <v>-0.1214719999989029</v>
      </c>
      <c r="O32">
        <f t="shared" si="4"/>
        <v>-0.024081396777799503</v>
      </c>
      <c r="Q32" s="2">
        <f t="shared" si="5"/>
        <v>12997.325</v>
      </c>
    </row>
    <row r="33" spans="1:17" ht="12.75">
      <c r="A33" s="30" t="s">
        <v>76</v>
      </c>
      <c r="B33" s="32" t="s">
        <v>146</v>
      </c>
      <c r="C33" s="31">
        <v>28361.374</v>
      </c>
      <c r="D33" s="14"/>
      <c r="E33">
        <f t="shared" si="0"/>
        <v>-94.99969151139412</v>
      </c>
      <c r="F33">
        <f t="shared" si="1"/>
        <v>-95</v>
      </c>
      <c r="G33">
        <f t="shared" si="2"/>
        <v>0.0014799999989918433</v>
      </c>
      <c r="K33">
        <f t="shared" si="3"/>
        <v>0.0014799999989918433</v>
      </c>
      <c r="O33">
        <f t="shared" si="4"/>
        <v>-0.020605020122741454</v>
      </c>
      <c r="Q33" s="2">
        <f t="shared" si="5"/>
        <v>13342.874</v>
      </c>
    </row>
    <row r="34" spans="1:17" ht="12.75">
      <c r="A34" s="30" t="s">
        <v>96</v>
      </c>
      <c r="B34" s="32" t="s">
        <v>146</v>
      </c>
      <c r="C34" s="31">
        <v>28668.555</v>
      </c>
      <c r="D34" s="14"/>
      <c r="E34">
        <f t="shared" si="0"/>
        <v>-30.97142228254883</v>
      </c>
      <c r="F34">
        <f t="shared" si="1"/>
        <v>-31</v>
      </c>
      <c r="G34">
        <f t="shared" si="2"/>
        <v>0.13710400000127265</v>
      </c>
      <c r="K34">
        <f t="shared" si="3"/>
        <v>0.13710400000127265</v>
      </c>
      <c r="O34">
        <f t="shared" si="4"/>
        <v>-0.017514907540467632</v>
      </c>
      <c r="Q34" s="2">
        <f t="shared" si="5"/>
        <v>13650.055</v>
      </c>
    </row>
    <row r="35" spans="1:17" ht="12.75">
      <c r="A35" t="s">
        <v>12</v>
      </c>
      <c r="C35" s="14">
        <v>28817.143</v>
      </c>
      <c r="D35" s="14" t="s">
        <v>14</v>
      </c>
      <c r="E35">
        <f t="shared" si="0"/>
        <v>0</v>
      </c>
      <c r="F35">
        <f t="shared" si="1"/>
        <v>0</v>
      </c>
      <c r="G35">
        <f t="shared" si="2"/>
        <v>0</v>
      </c>
      <c r="H35">
        <f>+G35</f>
        <v>0</v>
      </c>
      <c r="O35">
        <f t="shared" si="4"/>
        <v>-0.01601813425842875</v>
      </c>
      <c r="Q35" s="2">
        <f t="shared" si="5"/>
        <v>13798.643</v>
      </c>
    </row>
    <row r="36" spans="1:17" ht="12.75">
      <c r="A36" s="30" t="s">
        <v>96</v>
      </c>
      <c r="B36" s="32" t="s">
        <v>146</v>
      </c>
      <c r="C36" s="31">
        <v>29100.303</v>
      </c>
      <c r="D36" s="14"/>
      <c r="E36">
        <f t="shared" si="0"/>
        <v>59.02137409162609</v>
      </c>
      <c r="F36">
        <f t="shared" si="1"/>
        <v>59</v>
      </c>
      <c r="G36">
        <f t="shared" si="2"/>
        <v>0.10254400000121677</v>
      </c>
      <c r="K36">
        <f>+G36</f>
        <v>0.10254400000121677</v>
      </c>
      <c r="O36">
        <f t="shared" si="4"/>
        <v>-0.013169436721645071</v>
      </c>
      <c r="Q36" s="2">
        <f t="shared" si="5"/>
        <v>14081.803</v>
      </c>
    </row>
    <row r="37" spans="1:17" ht="12.75">
      <c r="A37" s="30" t="s">
        <v>96</v>
      </c>
      <c r="B37" s="32" t="s">
        <v>146</v>
      </c>
      <c r="C37" s="31">
        <v>29397.54</v>
      </c>
      <c r="D37" s="14"/>
      <c r="E37">
        <f t="shared" si="0"/>
        <v>120.97693338980639</v>
      </c>
      <c r="F37">
        <f t="shared" si="1"/>
        <v>121</v>
      </c>
      <c r="G37">
        <f t="shared" si="2"/>
        <v>-0.11066399999981513</v>
      </c>
      <c r="K37">
        <f>+G37</f>
        <v>-0.11066399999981513</v>
      </c>
      <c r="O37">
        <f t="shared" si="4"/>
        <v>-0.010175890157567306</v>
      </c>
      <c r="Q37" s="2">
        <f t="shared" si="5"/>
        <v>14379.04</v>
      </c>
    </row>
    <row r="38" spans="1:21" ht="12.75">
      <c r="A38" s="30" t="s">
        <v>76</v>
      </c>
      <c r="B38" s="32" t="s">
        <v>146</v>
      </c>
      <c r="C38" s="31">
        <v>31651.53</v>
      </c>
      <c r="D38" s="14"/>
      <c r="E38">
        <f t="shared" si="0"/>
        <v>590.7946583113498</v>
      </c>
      <c r="F38">
        <f t="shared" si="1"/>
        <v>591</v>
      </c>
      <c r="O38">
        <f t="shared" si="4"/>
        <v>0.01251712411850607</v>
      </c>
      <c r="Q38" s="2">
        <f t="shared" si="5"/>
        <v>16633.03</v>
      </c>
      <c r="U38">
        <f>+C38-(C$7+F38*C$8)</f>
        <v>-0.9851440000020375</v>
      </c>
    </row>
    <row r="39" spans="1:17" ht="12.75">
      <c r="A39" s="30" t="s">
        <v>116</v>
      </c>
      <c r="B39" s="32" t="s">
        <v>146</v>
      </c>
      <c r="C39" s="31">
        <v>32357.76</v>
      </c>
      <c r="D39" s="14"/>
      <c r="E39">
        <f t="shared" si="0"/>
        <v>738.0000016675057</v>
      </c>
      <c r="F39">
        <f t="shared" si="1"/>
        <v>738</v>
      </c>
      <c r="G39">
        <f aca="true" t="shared" si="6" ref="G39:G46">+C39-(C$7+F39*C$8)</f>
        <v>7.99999907030724E-06</v>
      </c>
      <c r="K39">
        <f aca="true" t="shared" si="7" ref="K39:K44">+G39</f>
        <v>7.99999907030724E-06</v>
      </c>
      <c r="O39">
        <f t="shared" si="4"/>
        <v>0.01961472645591625</v>
      </c>
      <c r="Q39" s="2">
        <f t="shared" si="5"/>
        <v>17339.26</v>
      </c>
    </row>
    <row r="40" spans="1:17" ht="12.75">
      <c r="A40" s="30" t="s">
        <v>120</v>
      </c>
      <c r="B40" s="32" t="s">
        <v>146</v>
      </c>
      <c r="C40" s="31">
        <v>32362.557</v>
      </c>
      <c r="D40" s="14"/>
      <c r="E40">
        <f t="shared" si="0"/>
        <v>738.9998799395698</v>
      </c>
      <c r="F40">
        <f t="shared" si="1"/>
        <v>739</v>
      </c>
      <c r="G40">
        <f t="shared" si="6"/>
        <v>-0.0005759999985457398</v>
      </c>
      <c r="K40">
        <f t="shared" si="7"/>
        <v>-0.0005759999985457398</v>
      </c>
      <c r="O40">
        <f t="shared" si="4"/>
        <v>0.019663009465014283</v>
      </c>
      <c r="Q40" s="2">
        <f t="shared" si="5"/>
        <v>17344.057</v>
      </c>
    </row>
    <row r="41" spans="1:17" ht="12.75">
      <c r="A41" s="30" t="s">
        <v>124</v>
      </c>
      <c r="B41" s="32" t="s">
        <v>146</v>
      </c>
      <c r="C41" s="31">
        <v>32381.791</v>
      </c>
      <c r="D41" s="14"/>
      <c r="E41">
        <f t="shared" si="0"/>
        <v>743.0089811871978</v>
      </c>
      <c r="F41">
        <f t="shared" si="1"/>
        <v>743</v>
      </c>
      <c r="G41">
        <f t="shared" si="6"/>
        <v>0.04308800000217161</v>
      </c>
      <c r="K41">
        <f t="shared" si="7"/>
        <v>0.04308800000217161</v>
      </c>
      <c r="O41">
        <f t="shared" si="4"/>
        <v>0.019856141501406393</v>
      </c>
      <c r="Q41" s="2">
        <f t="shared" si="5"/>
        <v>17363.291</v>
      </c>
    </row>
    <row r="42" spans="1:17" ht="12.75">
      <c r="A42" s="30" t="s">
        <v>129</v>
      </c>
      <c r="B42" s="32" t="s">
        <v>146</v>
      </c>
      <c r="C42" s="31">
        <v>32794.355</v>
      </c>
      <c r="D42" s="14"/>
      <c r="E42">
        <f t="shared" si="0"/>
        <v>829.0030982261079</v>
      </c>
      <c r="F42">
        <f t="shared" si="1"/>
        <v>829</v>
      </c>
      <c r="G42">
        <f t="shared" si="6"/>
        <v>0.014864000004308764</v>
      </c>
      <c r="K42">
        <f t="shared" si="7"/>
        <v>0.014864000004308764</v>
      </c>
      <c r="O42">
        <f t="shared" si="4"/>
        <v>0.024008480283836845</v>
      </c>
      <c r="Q42" s="2">
        <f t="shared" si="5"/>
        <v>17775.855000000003</v>
      </c>
    </row>
    <row r="43" spans="1:17" ht="12.75">
      <c r="A43" s="30" t="s">
        <v>76</v>
      </c>
      <c r="B43" s="32" t="s">
        <v>146</v>
      </c>
      <c r="C43" s="31">
        <v>33024.653</v>
      </c>
      <c r="D43" s="14"/>
      <c r="E43">
        <f t="shared" si="0"/>
        <v>877.0060096915445</v>
      </c>
      <c r="F43">
        <f t="shared" si="1"/>
        <v>877</v>
      </c>
      <c r="G43">
        <f t="shared" si="6"/>
        <v>0.028831999996327795</v>
      </c>
      <c r="K43">
        <f t="shared" si="7"/>
        <v>0.028831999996327795</v>
      </c>
      <c r="O43">
        <f t="shared" si="4"/>
        <v>0.02632606472054221</v>
      </c>
      <c r="Q43" s="2">
        <f t="shared" si="5"/>
        <v>18006.153</v>
      </c>
    </row>
    <row r="44" spans="1:17" ht="12.75">
      <c r="A44" s="30" t="s">
        <v>136</v>
      </c>
      <c r="B44" s="32" t="s">
        <v>146</v>
      </c>
      <c r="C44" s="31">
        <v>33437.249</v>
      </c>
      <c r="D44" s="14"/>
      <c r="E44">
        <f t="shared" si="0"/>
        <v>963.0067967543672</v>
      </c>
      <c r="F44">
        <f t="shared" si="1"/>
        <v>963</v>
      </c>
      <c r="G44">
        <f t="shared" si="6"/>
        <v>0.03260800000134623</v>
      </c>
      <c r="K44">
        <f t="shared" si="7"/>
        <v>0.03260800000134623</v>
      </c>
      <c r="O44">
        <f t="shared" si="4"/>
        <v>0.030478403502972654</v>
      </c>
      <c r="Q44" s="2">
        <f t="shared" si="5"/>
        <v>18418.749000000003</v>
      </c>
    </row>
    <row r="45" spans="1:31" ht="12.75">
      <c r="A45" t="s">
        <v>32</v>
      </c>
      <c r="C45" s="15">
        <v>42629.495</v>
      </c>
      <c r="D45" s="14"/>
      <c r="E45">
        <f t="shared" si="0"/>
        <v>2879.0224412954526</v>
      </c>
      <c r="F45">
        <f t="shared" si="1"/>
        <v>2879</v>
      </c>
      <c r="G45">
        <f t="shared" si="6"/>
        <v>0.10766400000284193</v>
      </c>
      <c r="I45">
        <f>+G45</f>
        <v>0.10766400000284193</v>
      </c>
      <c r="O45">
        <f t="shared" si="4"/>
        <v>0.12298864893479518</v>
      </c>
      <c r="Q45" s="2">
        <f t="shared" si="5"/>
        <v>27610.995000000003</v>
      </c>
      <c r="AB45">
        <v>9</v>
      </c>
      <c r="AC45" t="s">
        <v>31</v>
      </c>
      <c r="AE45" t="s">
        <v>33</v>
      </c>
    </row>
    <row r="46" spans="1:31" ht="12.75">
      <c r="A46" t="s">
        <v>34</v>
      </c>
      <c r="C46" s="15">
        <v>46563.55</v>
      </c>
      <c r="D46" s="14"/>
      <c r="E46">
        <f t="shared" si="0"/>
        <v>3699.0299700849437</v>
      </c>
      <c r="F46">
        <f t="shared" si="1"/>
        <v>3699</v>
      </c>
      <c r="G46">
        <f t="shared" si="6"/>
        <v>0.14378399999986868</v>
      </c>
      <c r="I46">
        <f>+G46</f>
        <v>0.14378399999986868</v>
      </c>
      <c r="O46">
        <f t="shared" si="4"/>
        <v>0.16258071639517854</v>
      </c>
      <c r="Q46" s="2">
        <f t="shared" si="5"/>
        <v>31545.050000000003</v>
      </c>
      <c r="AB46">
        <v>5</v>
      </c>
      <c r="AC46" t="s">
        <v>31</v>
      </c>
      <c r="AE46" t="s">
        <v>33</v>
      </c>
    </row>
    <row r="47" spans="2:4" ht="12.75">
      <c r="B47" s="6"/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8"/>
  <sheetViews>
    <sheetView zoomScalePageLayoutView="0" workbookViewId="0" topLeftCell="A1">
      <selection activeCell="A13" sqref="A13:C35"/>
    </sheetView>
  </sheetViews>
  <sheetFormatPr defaultColWidth="9.140625" defaultRowHeight="12.75"/>
  <cols>
    <col min="1" max="1" width="19.7109375" style="14" customWidth="1"/>
    <col min="2" max="2" width="4.421875" style="18" customWidth="1"/>
    <col min="3" max="3" width="12.7109375" style="14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14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17" t="s">
        <v>39</v>
      </c>
      <c r="I1" s="19" t="s">
        <v>40</v>
      </c>
      <c r="J1" s="20" t="s">
        <v>41</v>
      </c>
    </row>
    <row r="2" spans="9:10" ht="12.75">
      <c r="I2" s="21" t="s">
        <v>42</v>
      </c>
      <c r="J2" s="22" t="s">
        <v>43</v>
      </c>
    </row>
    <row r="3" spans="1:10" ht="12.75">
      <c r="A3" s="23" t="s">
        <v>44</v>
      </c>
      <c r="I3" s="21" t="s">
        <v>45</v>
      </c>
      <c r="J3" s="22" t="s">
        <v>46</v>
      </c>
    </row>
    <row r="4" spans="9:10" ht="12.75">
      <c r="I4" s="21" t="s">
        <v>47</v>
      </c>
      <c r="J4" s="22" t="s">
        <v>46</v>
      </c>
    </row>
    <row r="5" spans="9:10" ht="13.5" thickBot="1">
      <c r="I5" s="24" t="s">
        <v>48</v>
      </c>
      <c r="J5" s="25" t="s">
        <v>49</v>
      </c>
    </row>
    <row r="10" ht="13.5" thickBot="1"/>
    <row r="11" spans="1:16" ht="12.75" customHeight="1" thickBot="1">
      <c r="A11" s="14" t="str">
        <f aca="true" t="shared" si="0" ref="A11:A35">P11</f>
        <v> BBS 23 </v>
      </c>
      <c r="B11" s="6" t="str">
        <f aca="true" t="shared" si="1" ref="B11:B35">IF(H11=INT(H11),"I","II")</f>
        <v>I</v>
      </c>
      <c r="C11" s="14">
        <f aca="true" t="shared" si="2" ref="C11:C35">1*G11</f>
        <v>42629.495</v>
      </c>
      <c r="D11" s="18" t="str">
        <f aca="true" t="shared" si="3" ref="D11:D35">VLOOKUP(F11,I$1:J$5,2,FALSE)</f>
        <v>vis</v>
      </c>
      <c r="E11" s="26">
        <f>VLOOKUP(C11,A!C$21:E$973,3,FALSE)</f>
        <v>2879.0224412954526</v>
      </c>
      <c r="F11" s="6" t="s">
        <v>48</v>
      </c>
      <c r="G11" s="18" t="str">
        <f aca="true" t="shared" si="4" ref="G11:G35">MID(I11,3,LEN(I11)-3)</f>
        <v>42629.495</v>
      </c>
      <c r="H11" s="14">
        <f aca="true" t="shared" si="5" ref="H11:H35">1*K11</f>
        <v>2879</v>
      </c>
      <c r="I11" s="27" t="s">
        <v>137</v>
      </c>
      <c r="J11" s="28" t="s">
        <v>138</v>
      </c>
      <c r="K11" s="27">
        <v>2879</v>
      </c>
      <c r="L11" s="27" t="s">
        <v>139</v>
      </c>
      <c r="M11" s="28" t="s">
        <v>66</v>
      </c>
      <c r="N11" s="28"/>
      <c r="O11" s="29" t="s">
        <v>140</v>
      </c>
      <c r="P11" s="29" t="s">
        <v>141</v>
      </c>
    </row>
    <row r="12" spans="1:16" ht="12.75" customHeight="1" thickBot="1">
      <c r="A12" s="14" t="str">
        <f t="shared" si="0"/>
        <v> BBS 80 </v>
      </c>
      <c r="B12" s="6" t="str">
        <f t="shared" si="1"/>
        <v>I</v>
      </c>
      <c r="C12" s="14">
        <f t="shared" si="2"/>
        <v>46563.55</v>
      </c>
      <c r="D12" s="18" t="str">
        <f t="shared" si="3"/>
        <v>vis</v>
      </c>
      <c r="E12" s="26">
        <f>VLOOKUP(C12,A!C$21:E$973,3,FALSE)</f>
        <v>3699.0299700849437</v>
      </c>
      <c r="F12" s="6" t="s">
        <v>48</v>
      </c>
      <c r="G12" s="18" t="str">
        <f t="shared" si="4"/>
        <v>46563.550</v>
      </c>
      <c r="H12" s="14">
        <f t="shared" si="5"/>
        <v>3699</v>
      </c>
      <c r="I12" s="27" t="s">
        <v>142</v>
      </c>
      <c r="J12" s="28" t="s">
        <v>143</v>
      </c>
      <c r="K12" s="27">
        <v>3699</v>
      </c>
      <c r="L12" s="27" t="s">
        <v>144</v>
      </c>
      <c r="M12" s="28" t="s">
        <v>66</v>
      </c>
      <c r="N12" s="28"/>
      <c r="O12" s="29" t="s">
        <v>140</v>
      </c>
      <c r="P12" s="29" t="s">
        <v>145</v>
      </c>
    </row>
    <row r="13" spans="1:16" ht="12.75" customHeight="1" thickBot="1">
      <c r="A13" s="14" t="str">
        <f t="shared" si="0"/>
        <v> CRAC 19 </v>
      </c>
      <c r="B13" s="6" t="str">
        <f t="shared" si="1"/>
        <v>I</v>
      </c>
      <c r="C13" s="14">
        <f t="shared" si="2"/>
        <v>23558.72</v>
      </c>
      <c r="D13" s="18" t="str">
        <f t="shared" si="3"/>
        <v>vis</v>
      </c>
      <c r="E13" s="26">
        <f>VLOOKUP(C13,A!C$21:E$973,3,FALSE)</f>
        <v>-1096.0564734249572</v>
      </c>
      <c r="F13" s="6" t="s">
        <v>48</v>
      </c>
      <c r="G13" s="18" t="str">
        <f t="shared" si="4"/>
        <v>23558.72</v>
      </c>
      <c r="H13" s="14">
        <f t="shared" si="5"/>
        <v>-1096</v>
      </c>
      <c r="I13" s="27" t="s">
        <v>51</v>
      </c>
      <c r="J13" s="28" t="s">
        <v>52</v>
      </c>
      <c r="K13" s="27">
        <v>-1096</v>
      </c>
      <c r="L13" s="27" t="s">
        <v>53</v>
      </c>
      <c r="M13" s="28" t="s">
        <v>54</v>
      </c>
      <c r="N13" s="28"/>
      <c r="O13" s="29" t="s">
        <v>55</v>
      </c>
      <c r="P13" s="29" t="s">
        <v>56</v>
      </c>
    </row>
    <row r="14" spans="1:16" ht="12.75" customHeight="1" thickBot="1">
      <c r="A14" s="14" t="str">
        <f t="shared" si="0"/>
        <v> CRAC 19 </v>
      </c>
      <c r="B14" s="6" t="str">
        <f t="shared" si="1"/>
        <v>I</v>
      </c>
      <c r="C14" s="14">
        <f t="shared" si="2"/>
        <v>23563.72</v>
      </c>
      <c r="D14" s="18" t="str">
        <f t="shared" si="3"/>
        <v>vis</v>
      </c>
      <c r="E14" s="26">
        <f>VLOOKUP(C14,A!C$21:E$973,3,FALSE)</f>
        <v>-1095.0142821887016</v>
      </c>
      <c r="F14" s="6" t="s">
        <v>48</v>
      </c>
      <c r="G14" s="18" t="str">
        <f t="shared" si="4"/>
        <v>23563.72</v>
      </c>
      <c r="H14" s="14">
        <f t="shared" si="5"/>
        <v>-1095</v>
      </c>
      <c r="I14" s="27" t="s">
        <v>57</v>
      </c>
      <c r="J14" s="28" t="s">
        <v>58</v>
      </c>
      <c r="K14" s="27">
        <v>-1095</v>
      </c>
      <c r="L14" s="27" t="s">
        <v>59</v>
      </c>
      <c r="M14" s="28" t="s">
        <v>54</v>
      </c>
      <c r="N14" s="28"/>
      <c r="O14" s="29" t="s">
        <v>55</v>
      </c>
      <c r="P14" s="29" t="s">
        <v>56</v>
      </c>
    </row>
    <row r="15" spans="1:16" ht="12.75" customHeight="1" thickBot="1">
      <c r="A15" s="14" t="str">
        <f t="shared" si="0"/>
        <v> CRAC 19 </v>
      </c>
      <c r="B15" s="6" t="str">
        <f t="shared" si="1"/>
        <v>I</v>
      </c>
      <c r="C15" s="14">
        <f t="shared" si="2"/>
        <v>23587.67</v>
      </c>
      <c r="D15" s="18" t="str">
        <f t="shared" si="3"/>
        <v>vis</v>
      </c>
      <c r="E15" s="26">
        <f>VLOOKUP(C15,A!C$21:E$973,3,FALSE)</f>
        <v>-1090.022186167038</v>
      </c>
      <c r="F15" s="6" t="s">
        <v>48</v>
      </c>
      <c r="G15" s="18" t="str">
        <f t="shared" si="4"/>
        <v>23587.67</v>
      </c>
      <c r="H15" s="14">
        <f t="shared" si="5"/>
        <v>-1090</v>
      </c>
      <c r="I15" s="27" t="s">
        <v>60</v>
      </c>
      <c r="J15" s="28" t="s">
        <v>61</v>
      </c>
      <c r="K15" s="27">
        <v>-1090</v>
      </c>
      <c r="L15" s="27" t="s">
        <v>62</v>
      </c>
      <c r="M15" s="28" t="s">
        <v>54</v>
      </c>
      <c r="N15" s="28"/>
      <c r="O15" s="29" t="s">
        <v>55</v>
      </c>
      <c r="P15" s="29" t="s">
        <v>56</v>
      </c>
    </row>
    <row r="16" spans="1:16" ht="12.75" customHeight="1" thickBot="1">
      <c r="A16" s="14" t="str">
        <f t="shared" si="0"/>
        <v> CRAC 19 </v>
      </c>
      <c r="B16" s="6" t="str">
        <f t="shared" si="1"/>
        <v>I</v>
      </c>
      <c r="C16" s="14">
        <f t="shared" si="2"/>
        <v>24283.38</v>
      </c>
      <c r="D16" s="18" t="str">
        <f t="shared" si="3"/>
        <v>vis</v>
      </c>
      <c r="E16" s="26">
        <f>VLOOKUP(C16,A!C$21:E$973,3,FALSE)</f>
        <v>-945.0096131719631</v>
      </c>
      <c r="F16" s="6" t="s">
        <v>48</v>
      </c>
      <c r="G16" s="18" t="str">
        <f t="shared" si="4"/>
        <v>24283.38</v>
      </c>
      <c r="H16" s="14">
        <f t="shared" si="5"/>
        <v>-945</v>
      </c>
      <c r="I16" s="27" t="s">
        <v>63</v>
      </c>
      <c r="J16" s="28" t="s">
        <v>64</v>
      </c>
      <c r="K16" s="27">
        <v>-945</v>
      </c>
      <c r="L16" s="27" t="s">
        <v>65</v>
      </c>
      <c r="M16" s="28" t="s">
        <v>66</v>
      </c>
      <c r="N16" s="28"/>
      <c r="O16" s="29" t="s">
        <v>67</v>
      </c>
      <c r="P16" s="29" t="s">
        <v>56</v>
      </c>
    </row>
    <row r="17" spans="1:16" ht="12.75" customHeight="1" thickBot="1">
      <c r="A17" s="14" t="str">
        <f t="shared" si="0"/>
        <v> CRAC 19 </v>
      </c>
      <c r="B17" s="6" t="str">
        <f t="shared" si="1"/>
        <v>I</v>
      </c>
      <c r="C17" s="14">
        <f t="shared" si="2"/>
        <v>24307.36</v>
      </c>
      <c r="D17" s="18" t="str">
        <f t="shared" si="3"/>
        <v>vis</v>
      </c>
      <c r="E17" s="26">
        <f>VLOOKUP(C17,A!C$21:E$973,3,FALSE)</f>
        <v>-940.0112640028814</v>
      </c>
      <c r="F17" s="6" t="s">
        <v>48</v>
      </c>
      <c r="G17" s="18" t="str">
        <f t="shared" si="4"/>
        <v>24307.36</v>
      </c>
      <c r="H17" s="14">
        <f t="shared" si="5"/>
        <v>-940</v>
      </c>
      <c r="I17" s="27" t="s">
        <v>68</v>
      </c>
      <c r="J17" s="28" t="s">
        <v>69</v>
      </c>
      <c r="K17" s="27">
        <v>-940</v>
      </c>
      <c r="L17" s="27" t="s">
        <v>65</v>
      </c>
      <c r="M17" s="28" t="s">
        <v>66</v>
      </c>
      <c r="N17" s="28"/>
      <c r="O17" s="29" t="s">
        <v>67</v>
      </c>
      <c r="P17" s="29" t="s">
        <v>56</v>
      </c>
    </row>
    <row r="18" spans="1:16" ht="12.75" customHeight="1" thickBot="1">
      <c r="A18" s="14" t="str">
        <f t="shared" si="0"/>
        <v> CRAC 19 </v>
      </c>
      <c r="B18" s="6" t="str">
        <f t="shared" si="1"/>
        <v>I</v>
      </c>
      <c r="C18" s="14">
        <f t="shared" si="2"/>
        <v>24350.558</v>
      </c>
      <c r="D18" s="18" t="str">
        <f t="shared" si="3"/>
        <v>vis</v>
      </c>
      <c r="E18" s="26">
        <f>VLOOKUP(C18,A!C$21:E$973,3,FALSE)</f>
        <v>-931.0071485981276</v>
      </c>
      <c r="F18" s="6" t="s">
        <v>48</v>
      </c>
      <c r="G18" s="18" t="str">
        <f t="shared" si="4"/>
        <v>24350.558</v>
      </c>
      <c r="H18" s="14">
        <f t="shared" si="5"/>
        <v>-931</v>
      </c>
      <c r="I18" s="27" t="s">
        <v>70</v>
      </c>
      <c r="J18" s="28" t="s">
        <v>71</v>
      </c>
      <c r="K18" s="27">
        <v>-931</v>
      </c>
      <c r="L18" s="27" t="s">
        <v>72</v>
      </c>
      <c r="M18" s="28" t="s">
        <v>66</v>
      </c>
      <c r="N18" s="28"/>
      <c r="O18" s="29" t="s">
        <v>67</v>
      </c>
      <c r="P18" s="29" t="s">
        <v>56</v>
      </c>
    </row>
    <row r="19" spans="1:16" ht="12.75" customHeight="1" thickBot="1">
      <c r="A19" s="14" t="str">
        <f t="shared" si="0"/>
        <v> AA 26.343 </v>
      </c>
      <c r="B19" s="6" t="str">
        <f t="shared" si="1"/>
        <v>I</v>
      </c>
      <c r="C19" s="14">
        <f t="shared" si="2"/>
        <v>24710.388</v>
      </c>
      <c r="D19" s="18" t="str">
        <f t="shared" si="3"/>
        <v>vis</v>
      </c>
      <c r="E19" s="26">
        <f>VLOOKUP(C19,A!C$21:E$973,3,FALSE)</f>
        <v>-856.0048140897588</v>
      </c>
      <c r="F19" s="6" t="s">
        <v>48</v>
      </c>
      <c r="G19" s="18" t="str">
        <f t="shared" si="4"/>
        <v>24710.388</v>
      </c>
      <c r="H19" s="14">
        <f t="shared" si="5"/>
        <v>-856</v>
      </c>
      <c r="I19" s="27" t="s">
        <v>73</v>
      </c>
      <c r="J19" s="28" t="s">
        <v>74</v>
      </c>
      <c r="K19" s="27">
        <v>-856</v>
      </c>
      <c r="L19" s="27" t="s">
        <v>75</v>
      </c>
      <c r="M19" s="28" t="s">
        <v>66</v>
      </c>
      <c r="N19" s="28"/>
      <c r="O19" s="29" t="s">
        <v>67</v>
      </c>
      <c r="P19" s="29" t="s">
        <v>76</v>
      </c>
    </row>
    <row r="20" spans="1:16" ht="12.75" customHeight="1" thickBot="1">
      <c r="A20" s="14" t="str">
        <f t="shared" si="0"/>
        <v> IODE 4.2.360 </v>
      </c>
      <c r="B20" s="6" t="str">
        <f t="shared" si="1"/>
        <v>I</v>
      </c>
      <c r="C20" s="14">
        <f t="shared" si="2"/>
        <v>24729.573</v>
      </c>
      <c r="D20" s="18" t="str">
        <f t="shared" si="3"/>
        <v>vis</v>
      </c>
      <c r="E20" s="26">
        <f>VLOOKUP(C20,A!C$21:E$973,3,FALSE)</f>
        <v>-852.0059263162459</v>
      </c>
      <c r="F20" s="6" t="s">
        <v>48</v>
      </c>
      <c r="G20" s="18" t="str">
        <f t="shared" si="4"/>
        <v>24729.573</v>
      </c>
      <c r="H20" s="14">
        <f t="shared" si="5"/>
        <v>-852</v>
      </c>
      <c r="I20" s="27" t="s">
        <v>77</v>
      </c>
      <c r="J20" s="28" t="s">
        <v>78</v>
      </c>
      <c r="K20" s="27">
        <v>-852</v>
      </c>
      <c r="L20" s="27" t="s">
        <v>79</v>
      </c>
      <c r="M20" s="28" t="s">
        <v>66</v>
      </c>
      <c r="N20" s="28"/>
      <c r="O20" s="29" t="s">
        <v>80</v>
      </c>
      <c r="P20" s="29" t="s">
        <v>81</v>
      </c>
    </row>
    <row r="21" spans="1:16" ht="12.75" customHeight="1" thickBot="1">
      <c r="A21" s="14" t="str">
        <f t="shared" si="0"/>
        <v> AAC 1.164 </v>
      </c>
      <c r="B21" s="6" t="str">
        <f t="shared" si="1"/>
        <v>I</v>
      </c>
      <c r="C21" s="14">
        <f t="shared" si="2"/>
        <v>25852.224</v>
      </c>
      <c r="D21" s="18" t="str">
        <f t="shared" si="3"/>
        <v>vis</v>
      </c>
      <c r="E21" s="26">
        <f>VLOOKUP(C21,A!C$21:E$973,3,FALSE)</f>
        <v>-618.0025196015332</v>
      </c>
      <c r="F21" s="6" t="s">
        <v>48</v>
      </c>
      <c r="G21" s="18" t="str">
        <f t="shared" si="4"/>
        <v>25852.224</v>
      </c>
      <c r="H21" s="14">
        <f t="shared" si="5"/>
        <v>-618</v>
      </c>
      <c r="I21" s="27" t="s">
        <v>82</v>
      </c>
      <c r="J21" s="28" t="s">
        <v>83</v>
      </c>
      <c r="K21" s="27">
        <v>-618</v>
      </c>
      <c r="L21" s="27" t="s">
        <v>84</v>
      </c>
      <c r="M21" s="28" t="s">
        <v>66</v>
      </c>
      <c r="N21" s="28"/>
      <c r="O21" s="29" t="s">
        <v>67</v>
      </c>
      <c r="P21" s="29" t="s">
        <v>85</v>
      </c>
    </row>
    <row r="22" spans="1:16" ht="12.75" customHeight="1" thickBot="1">
      <c r="A22" s="14" t="str">
        <f t="shared" si="0"/>
        <v> AA 26.343 </v>
      </c>
      <c r="B22" s="6" t="str">
        <f t="shared" si="1"/>
        <v>I</v>
      </c>
      <c r="C22" s="14">
        <f t="shared" si="2"/>
        <v>26538.277</v>
      </c>
      <c r="D22" s="18" t="str">
        <f t="shared" si="3"/>
        <v>vis</v>
      </c>
      <c r="E22" s="26">
        <f>VLOOKUP(C22,A!C$21:E$973,3,FALSE)</f>
        <v>-475.002834760163</v>
      </c>
      <c r="F22" s="6" t="s">
        <v>48</v>
      </c>
      <c r="G22" s="18" t="str">
        <f t="shared" si="4"/>
        <v>26538.277</v>
      </c>
      <c r="H22" s="14">
        <f t="shared" si="5"/>
        <v>-475</v>
      </c>
      <c r="I22" s="27" t="s">
        <v>86</v>
      </c>
      <c r="J22" s="28" t="s">
        <v>87</v>
      </c>
      <c r="K22" s="27">
        <v>-475</v>
      </c>
      <c r="L22" s="27" t="s">
        <v>88</v>
      </c>
      <c r="M22" s="28" t="s">
        <v>66</v>
      </c>
      <c r="N22" s="28"/>
      <c r="O22" s="29" t="s">
        <v>67</v>
      </c>
      <c r="P22" s="29" t="s">
        <v>76</v>
      </c>
    </row>
    <row r="23" spans="1:16" ht="12.75" customHeight="1" thickBot="1">
      <c r="A23" s="14" t="str">
        <f t="shared" si="0"/>
        <v> AA 26.343 </v>
      </c>
      <c r="B23" s="6" t="str">
        <f t="shared" si="1"/>
        <v>I</v>
      </c>
      <c r="C23" s="14">
        <f t="shared" si="2"/>
        <v>27296.29</v>
      </c>
      <c r="D23" s="18" t="str">
        <f t="shared" si="3"/>
        <v>vis</v>
      </c>
      <c r="E23" s="26">
        <f>VLOOKUP(C23,A!C$21:E$973,3,FALSE)</f>
        <v>-317.003933646602</v>
      </c>
      <c r="F23" s="6" t="s">
        <v>48</v>
      </c>
      <c r="G23" s="18" t="str">
        <f t="shared" si="4"/>
        <v>27296.290</v>
      </c>
      <c r="H23" s="14">
        <f t="shared" si="5"/>
        <v>-317</v>
      </c>
      <c r="I23" s="27" t="s">
        <v>89</v>
      </c>
      <c r="J23" s="28" t="s">
        <v>90</v>
      </c>
      <c r="K23" s="27">
        <v>-317</v>
      </c>
      <c r="L23" s="27" t="s">
        <v>91</v>
      </c>
      <c r="M23" s="28" t="s">
        <v>66</v>
      </c>
      <c r="N23" s="28"/>
      <c r="O23" s="29" t="s">
        <v>67</v>
      </c>
      <c r="P23" s="29" t="s">
        <v>76</v>
      </c>
    </row>
    <row r="24" spans="1:16" ht="12.75" customHeight="1" thickBot="1">
      <c r="A24" s="14" t="str">
        <f t="shared" si="0"/>
        <v> BAN 9.408 </v>
      </c>
      <c r="B24" s="6" t="str">
        <f t="shared" si="1"/>
        <v>I</v>
      </c>
      <c r="C24" s="14">
        <f t="shared" si="2"/>
        <v>28015.825</v>
      </c>
      <c r="D24" s="18" t="str">
        <f t="shared" si="3"/>
        <v>vis</v>
      </c>
      <c r="E24" s="26">
        <f>VLOOKUP(C24,A!C$21:E$973,3,FALSE)</f>
        <v>-167.02531941076995</v>
      </c>
      <c r="F24" s="6" t="s">
        <v>48</v>
      </c>
      <c r="G24" s="18" t="str">
        <f t="shared" si="4"/>
        <v>28015.825</v>
      </c>
      <c r="H24" s="14">
        <f t="shared" si="5"/>
        <v>-167</v>
      </c>
      <c r="I24" s="27" t="s">
        <v>92</v>
      </c>
      <c r="J24" s="28" t="s">
        <v>93</v>
      </c>
      <c r="K24" s="27">
        <v>-167</v>
      </c>
      <c r="L24" s="27" t="s">
        <v>94</v>
      </c>
      <c r="M24" s="28" t="s">
        <v>54</v>
      </c>
      <c r="N24" s="28"/>
      <c r="O24" s="29" t="s">
        <v>95</v>
      </c>
      <c r="P24" s="29" t="s">
        <v>96</v>
      </c>
    </row>
    <row r="25" spans="1:16" ht="12.75" customHeight="1" thickBot="1">
      <c r="A25" s="14" t="str">
        <f t="shared" si="0"/>
        <v> AA 26.343 </v>
      </c>
      <c r="B25" s="6" t="str">
        <f t="shared" si="1"/>
        <v>I</v>
      </c>
      <c r="C25" s="14">
        <f t="shared" si="2"/>
        <v>28361.374</v>
      </c>
      <c r="D25" s="18" t="str">
        <f t="shared" si="3"/>
        <v>vis</v>
      </c>
      <c r="E25" s="26">
        <f>VLOOKUP(C25,A!C$21:E$973,3,FALSE)</f>
        <v>-94.99969151139412</v>
      </c>
      <c r="F25" s="6" t="s">
        <v>48</v>
      </c>
      <c r="G25" s="18" t="str">
        <f t="shared" si="4"/>
        <v>28361.374</v>
      </c>
      <c r="H25" s="14">
        <f t="shared" si="5"/>
        <v>-95</v>
      </c>
      <c r="I25" s="27" t="s">
        <v>97</v>
      </c>
      <c r="J25" s="28" t="s">
        <v>98</v>
      </c>
      <c r="K25" s="27">
        <v>-95</v>
      </c>
      <c r="L25" s="27" t="s">
        <v>99</v>
      </c>
      <c r="M25" s="28" t="s">
        <v>66</v>
      </c>
      <c r="N25" s="28"/>
      <c r="O25" s="29" t="s">
        <v>67</v>
      </c>
      <c r="P25" s="29" t="s">
        <v>76</v>
      </c>
    </row>
    <row r="26" spans="1:16" ht="12.75" customHeight="1" thickBot="1">
      <c r="A26" s="14" t="str">
        <f t="shared" si="0"/>
        <v> BAN 9.408 </v>
      </c>
      <c r="B26" s="6" t="str">
        <f t="shared" si="1"/>
        <v>I</v>
      </c>
      <c r="C26" s="14">
        <f t="shared" si="2"/>
        <v>28668.555</v>
      </c>
      <c r="D26" s="18" t="str">
        <f t="shared" si="3"/>
        <v>vis</v>
      </c>
      <c r="E26" s="26">
        <f>VLOOKUP(C26,A!C$21:E$973,3,FALSE)</f>
        <v>-30.97142228254883</v>
      </c>
      <c r="F26" s="6" t="s">
        <v>48</v>
      </c>
      <c r="G26" s="18" t="str">
        <f t="shared" si="4"/>
        <v>28668.555</v>
      </c>
      <c r="H26" s="14">
        <f t="shared" si="5"/>
        <v>-31</v>
      </c>
      <c r="I26" s="27" t="s">
        <v>100</v>
      </c>
      <c r="J26" s="28" t="s">
        <v>101</v>
      </c>
      <c r="K26" s="27">
        <v>-31</v>
      </c>
      <c r="L26" s="27" t="s">
        <v>102</v>
      </c>
      <c r="M26" s="28" t="s">
        <v>54</v>
      </c>
      <c r="N26" s="28"/>
      <c r="O26" s="29" t="s">
        <v>95</v>
      </c>
      <c r="P26" s="29" t="s">
        <v>96</v>
      </c>
    </row>
    <row r="27" spans="1:16" ht="12.75" customHeight="1" thickBot="1">
      <c r="A27" s="14" t="str">
        <f t="shared" si="0"/>
        <v> BAN 9.408 </v>
      </c>
      <c r="B27" s="6" t="str">
        <f t="shared" si="1"/>
        <v>I</v>
      </c>
      <c r="C27" s="14">
        <f t="shared" si="2"/>
        <v>29100.303</v>
      </c>
      <c r="D27" s="18" t="str">
        <f t="shared" si="3"/>
        <v>vis</v>
      </c>
      <c r="E27" s="26">
        <f>VLOOKUP(C27,A!C$21:E$973,3,FALSE)</f>
        <v>59.02137409162609</v>
      </c>
      <c r="F27" s="6" t="s">
        <v>48</v>
      </c>
      <c r="G27" s="18" t="str">
        <f t="shared" si="4"/>
        <v>29100.303</v>
      </c>
      <c r="H27" s="14">
        <f t="shared" si="5"/>
        <v>59</v>
      </c>
      <c r="I27" s="27" t="s">
        <v>103</v>
      </c>
      <c r="J27" s="28" t="s">
        <v>104</v>
      </c>
      <c r="K27" s="27">
        <v>59</v>
      </c>
      <c r="L27" s="27" t="s">
        <v>105</v>
      </c>
      <c r="M27" s="28" t="s">
        <v>54</v>
      </c>
      <c r="N27" s="28"/>
      <c r="O27" s="29" t="s">
        <v>95</v>
      </c>
      <c r="P27" s="29" t="s">
        <v>96</v>
      </c>
    </row>
    <row r="28" spans="1:16" ht="12.75" customHeight="1" thickBot="1">
      <c r="A28" s="14" t="str">
        <f t="shared" si="0"/>
        <v> BAN 9.408 </v>
      </c>
      <c r="B28" s="6" t="str">
        <f t="shared" si="1"/>
        <v>I</v>
      </c>
      <c r="C28" s="14">
        <f t="shared" si="2"/>
        <v>29397.54</v>
      </c>
      <c r="D28" s="18" t="str">
        <f t="shared" si="3"/>
        <v>vis</v>
      </c>
      <c r="E28" s="26">
        <f>VLOOKUP(C28,A!C$21:E$973,3,FALSE)</f>
        <v>120.97693338980639</v>
      </c>
      <c r="F28" s="6" t="s">
        <v>48</v>
      </c>
      <c r="G28" s="18" t="str">
        <f t="shared" si="4"/>
        <v>29397.540</v>
      </c>
      <c r="H28" s="14">
        <f t="shared" si="5"/>
        <v>121</v>
      </c>
      <c r="I28" s="27" t="s">
        <v>106</v>
      </c>
      <c r="J28" s="28" t="s">
        <v>107</v>
      </c>
      <c r="K28" s="27">
        <v>121</v>
      </c>
      <c r="L28" s="27" t="s">
        <v>108</v>
      </c>
      <c r="M28" s="28" t="s">
        <v>54</v>
      </c>
      <c r="N28" s="28"/>
      <c r="O28" s="29" t="s">
        <v>95</v>
      </c>
      <c r="P28" s="29" t="s">
        <v>96</v>
      </c>
    </row>
    <row r="29" spans="1:16" ht="12.75" customHeight="1" thickBot="1">
      <c r="A29" s="14" t="str">
        <f t="shared" si="0"/>
        <v> AA 26.343 </v>
      </c>
      <c r="B29" s="6" t="str">
        <f t="shared" si="1"/>
        <v>I</v>
      </c>
      <c r="C29" s="14">
        <f t="shared" si="2"/>
        <v>31651.53</v>
      </c>
      <c r="D29" s="18" t="str">
        <f t="shared" si="3"/>
        <v>vis</v>
      </c>
      <c r="E29" s="26">
        <f>VLOOKUP(C29,A!C$21:E$973,3,FALSE)</f>
        <v>590.7946583113498</v>
      </c>
      <c r="F29" s="6" t="s">
        <v>48</v>
      </c>
      <c r="G29" s="18" t="str">
        <f t="shared" si="4"/>
        <v>31651.53</v>
      </c>
      <c r="H29" s="14">
        <f t="shared" si="5"/>
        <v>591</v>
      </c>
      <c r="I29" s="27" t="s">
        <v>109</v>
      </c>
      <c r="J29" s="28" t="s">
        <v>110</v>
      </c>
      <c r="K29" s="27">
        <v>591</v>
      </c>
      <c r="L29" s="27" t="s">
        <v>111</v>
      </c>
      <c r="M29" s="28" t="s">
        <v>66</v>
      </c>
      <c r="N29" s="28"/>
      <c r="O29" s="29" t="s">
        <v>67</v>
      </c>
      <c r="P29" s="29" t="s">
        <v>76</v>
      </c>
    </row>
    <row r="30" spans="1:16" ht="12.75" customHeight="1" thickBot="1">
      <c r="A30" s="14" t="str">
        <f t="shared" si="0"/>
        <v> PZ 12.175 </v>
      </c>
      <c r="B30" s="6" t="str">
        <f t="shared" si="1"/>
        <v>I</v>
      </c>
      <c r="C30" s="14">
        <f t="shared" si="2"/>
        <v>32357.76</v>
      </c>
      <c r="D30" s="18" t="str">
        <f t="shared" si="3"/>
        <v>vis</v>
      </c>
      <c r="E30" s="26">
        <f>VLOOKUP(C30,A!C$21:E$973,3,FALSE)</f>
        <v>738.0000016675057</v>
      </c>
      <c r="F30" s="6" t="s">
        <v>48</v>
      </c>
      <c r="G30" s="18" t="str">
        <f t="shared" si="4"/>
        <v>32357.760</v>
      </c>
      <c r="H30" s="14">
        <f t="shared" si="5"/>
        <v>738</v>
      </c>
      <c r="I30" s="27" t="s">
        <v>112</v>
      </c>
      <c r="J30" s="28" t="s">
        <v>113</v>
      </c>
      <c r="K30" s="27">
        <v>738</v>
      </c>
      <c r="L30" s="27" t="s">
        <v>114</v>
      </c>
      <c r="M30" s="28" t="s">
        <v>66</v>
      </c>
      <c r="N30" s="28"/>
      <c r="O30" s="29" t="s">
        <v>115</v>
      </c>
      <c r="P30" s="29" t="s">
        <v>116</v>
      </c>
    </row>
    <row r="31" spans="1:16" ht="12.75" customHeight="1" thickBot="1">
      <c r="A31" s="14" t="str">
        <f t="shared" si="0"/>
        <v> PZ 10.326 </v>
      </c>
      <c r="B31" s="6" t="str">
        <f t="shared" si="1"/>
        <v>I</v>
      </c>
      <c r="C31" s="14">
        <f t="shared" si="2"/>
        <v>32362.557</v>
      </c>
      <c r="D31" s="18" t="str">
        <f t="shared" si="3"/>
        <v>vis</v>
      </c>
      <c r="E31" s="26">
        <f>VLOOKUP(C31,A!C$21:E$973,3,FALSE)</f>
        <v>738.9998799395698</v>
      </c>
      <c r="F31" s="6" t="s">
        <v>48</v>
      </c>
      <c r="G31" s="18" t="str">
        <f t="shared" si="4"/>
        <v>32362.557</v>
      </c>
      <c r="H31" s="14">
        <f t="shared" si="5"/>
        <v>739</v>
      </c>
      <c r="I31" s="27" t="s">
        <v>117</v>
      </c>
      <c r="J31" s="28" t="s">
        <v>118</v>
      </c>
      <c r="K31" s="27">
        <v>739</v>
      </c>
      <c r="L31" s="27" t="s">
        <v>119</v>
      </c>
      <c r="M31" s="28" t="s">
        <v>50</v>
      </c>
      <c r="N31" s="28"/>
      <c r="O31" s="29" t="s">
        <v>115</v>
      </c>
      <c r="P31" s="29" t="s">
        <v>120</v>
      </c>
    </row>
    <row r="32" spans="1:16" ht="12.75" customHeight="1" thickBot="1">
      <c r="A32" s="14" t="str">
        <f t="shared" si="0"/>
        <v> AC 68.9 </v>
      </c>
      <c r="B32" s="6" t="str">
        <f t="shared" si="1"/>
        <v>I</v>
      </c>
      <c r="C32" s="14">
        <f t="shared" si="2"/>
        <v>32381.791</v>
      </c>
      <c r="D32" s="18" t="str">
        <f t="shared" si="3"/>
        <v>vis</v>
      </c>
      <c r="E32" s="26">
        <f>VLOOKUP(C32,A!C$21:E$973,3,FALSE)</f>
        <v>743.0089811871978</v>
      </c>
      <c r="F32" s="6" t="s">
        <v>48</v>
      </c>
      <c r="G32" s="18" t="str">
        <f t="shared" si="4"/>
        <v>32381.791</v>
      </c>
      <c r="H32" s="14">
        <f t="shared" si="5"/>
        <v>743</v>
      </c>
      <c r="I32" s="27" t="s">
        <v>121</v>
      </c>
      <c r="J32" s="28" t="s">
        <v>122</v>
      </c>
      <c r="K32" s="27">
        <v>743</v>
      </c>
      <c r="L32" s="27" t="s">
        <v>123</v>
      </c>
      <c r="M32" s="28" t="s">
        <v>66</v>
      </c>
      <c r="N32" s="28"/>
      <c r="O32" s="29" t="s">
        <v>115</v>
      </c>
      <c r="P32" s="29" t="s">
        <v>124</v>
      </c>
    </row>
    <row r="33" spans="1:16" ht="12.75" customHeight="1" thickBot="1">
      <c r="A33" s="14" t="str">
        <f t="shared" si="0"/>
        <v> AAC 4.118 </v>
      </c>
      <c r="B33" s="6" t="str">
        <f t="shared" si="1"/>
        <v>I</v>
      </c>
      <c r="C33" s="14">
        <f t="shared" si="2"/>
        <v>32794.355</v>
      </c>
      <c r="D33" s="18" t="str">
        <f t="shared" si="3"/>
        <v>vis</v>
      </c>
      <c r="E33" s="26">
        <f>VLOOKUP(C33,A!C$21:E$973,3,FALSE)</f>
        <v>829.0030982261079</v>
      </c>
      <c r="F33" s="6" t="s">
        <v>48</v>
      </c>
      <c r="G33" s="18" t="str">
        <f t="shared" si="4"/>
        <v>32794.355</v>
      </c>
      <c r="H33" s="14">
        <f t="shared" si="5"/>
        <v>829</v>
      </c>
      <c r="I33" s="27" t="s">
        <v>125</v>
      </c>
      <c r="J33" s="28" t="s">
        <v>126</v>
      </c>
      <c r="K33" s="27">
        <v>829</v>
      </c>
      <c r="L33" s="27" t="s">
        <v>127</v>
      </c>
      <c r="M33" s="28" t="s">
        <v>66</v>
      </c>
      <c r="N33" s="28"/>
      <c r="O33" s="29" t="s">
        <v>128</v>
      </c>
      <c r="P33" s="29" t="s">
        <v>129</v>
      </c>
    </row>
    <row r="34" spans="1:16" ht="12.75" customHeight="1" thickBot="1">
      <c r="A34" s="14" t="str">
        <f t="shared" si="0"/>
        <v> AA 26.343 </v>
      </c>
      <c r="B34" s="6" t="str">
        <f t="shared" si="1"/>
        <v>I</v>
      </c>
      <c r="C34" s="14">
        <f t="shared" si="2"/>
        <v>33024.653</v>
      </c>
      <c r="D34" s="18" t="str">
        <f t="shared" si="3"/>
        <v>vis</v>
      </c>
      <c r="E34" s="26">
        <f>VLOOKUP(C34,A!C$21:E$973,3,FALSE)</f>
        <v>877.0060096915445</v>
      </c>
      <c r="F34" s="6" t="s">
        <v>48</v>
      </c>
      <c r="G34" s="18" t="str">
        <f t="shared" si="4"/>
        <v>33024.653</v>
      </c>
      <c r="H34" s="14">
        <f t="shared" si="5"/>
        <v>877</v>
      </c>
      <c r="I34" s="27" t="s">
        <v>130</v>
      </c>
      <c r="J34" s="28" t="s">
        <v>131</v>
      </c>
      <c r="K34" s="27">
        <v>877</v>
      </c>
      <c r="L34" s="27" t="s">
        <v>132</v>
      </c>
      <c r="M34" s="28" t="s">
        <v>66</v>
      </c>
      <c r="N34" s="28"/>
      <c r="O34" s="29" t="s">
        <v>67</v>
      </c>
      <c r="P34" s="29" t="s">
        <v>76</v>
      </c>
    </row>
    <row r="35" spans="1:16" ht="12.75" customHeight="1" thickBot="1">
      <c r="A35" s="14" t="str">
        <f t="shared" si="0"/>
        <v> AAC 5.77 </v>
      </c>
      <c r="B35" s="6" t="str">
        <f t="shared" si="1"/>
        <v>I</v>
      </c>
      <c r="C35" s="14">
        <f t="shared" si="2"/>
        <v>33437.249</v>
      </c>
      <c r="D35" s="18" t="str">
        <f t="shared" si="3"/>
        <v>vis</v>
      </c>
      <c r="E35" s="26">
        <f>VLOOKUP(C35,A!C$21:E$973,3,FALSE)</f>
        <v>963.0067967543672</v>
      </c>
      <c r="F35" s="6" t="s">
        <v>48</v>
      </c>
      <c r="G35" s="18" t="str">
        <f t="shared" si="4"/>
        <v>33437.249</v>
      </c>
      <c r="H35" s="14">
        <f t="shared" si="5"/>
        <v>963</v>
      </c>
      <c r="I35" s="27" t="s">
        <v>133</v>
      </c>
      <c r="J35" s="28" t="s">
        <v>134</v>
      </c>
      <c r="K35" s="27">
        <v>963</v>
      </c>
      <c r="L35" s="27" t="s">
        <v>135</v>
      </c>
      <c r="M35" s="28" t="s">
        <v>66</v>
      </c>
      <c r="N35" s="28"/>
      <c r="O35" s="29" t="s">
        <v>128</v>
      </c>
      <c r="P35" s="29" t="s">
        <v>136</v>
      </c>
    </row>
    <row r="36" spans="2:6" ht="12.75">
      <c r="B36" s="6"/>
      <c r="E36" s="26"/>
      <c r="F36" s="6"/>
    </row>
    <row r="37" spans="2:6" ht="12.75">
      <c r="B37" s="6"/>
      <c r="E37" s="26"/>
      <c r="F37" s="6"/>
    </row>
    <row r="38" spans="2:6" ht="12.75">
      <c r="B38" s="6"/>
      <c r="E38" s="26"/>
      <c r="F38" s="6"/>
    </row>
    <row r="39" spans="2:6" ht="12.75">
      <c r="B39" s="6"/>
      <c r="E39" s="26"/>
      <c r="F39" s="6"/>
    </row>
    <row r="40" spans="2:6" ht="12.75">
      <c r="B40" s="6"/>
      <c r="E40" s="26"/>
      <c r="F40" s="6"/>
    </row>
    <row r="41" spans="2:6" ht="12.75">
      <c r="B41" s="6"/>
      <c r="E41" s="26"/>
      <c r="F41" s="6"/>
    </row>
    <row r="42" spans="2:6" ht="12.75">
      <c r="B42" s="6"/>
      <c r="E42" s="26"/>
      <c r="F42" s="6"/>
    </row>
    <row r="43" spans="2:6" ht="12.75">
      <c r="B43" s="6"/>
      <c r="E43" s="26"/>
      <c r="F43" s="6"/>
    </row>
    <row r="44" spans="2:6" ht="12.75">
      <c r="B44" s="6"/>
      <c r="E44" s="26"/>
      <c r="F44" s="6"/>
    </row>
    <row r="45" spans="2:6" ht="12.75">
      <c r="B45" s="6"/>
      <c r="E45" s="26"/>
      <c r="F45" s="6"/>
    </row>
    <row r="46" spans="2:6" ht="12.75">
      <c r="B46" s="6"/>
      <c r="E46" s="26"/>
      <c r="F46" s="6"/>
    </row>
    <row r="47" spans="2:6" ht="12.75">
      <c r="B47" s="6"/>
      <c r="E47" s="26"/>
      <c r="F47" s="6"/>
    </row>
    <row r="48" spans="2:6" ht="12.75">
      <c r="B48" s="6"/>
      <c r="E48" s="26"/>
      <c r="F48" s="6"/>
    </row>
    <row r="49" spans="2:6" ht="12.75">
      <c r="B49" s="6"/>
      <c r="E49" s="26"/>
      <c r="F49" s="6"/>
    </row>
    <row r="50" spans="2:6" ht="12.75">
      <c r="B50" s="6"/>
      <c r="E50" s="2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  <row r="837" spans="2:6" ht="12.75">
      <c r="B837" s="6"/>
      <c r="F837" s="6"/>
    </row>
    <row r="838" spans="2:6" ht="12.75">
      <c r="B838" s="6"/>
      <c r="F838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2022-11-23T05:49:28Z</dcterms:modified>
  <cp:category/>
  <cp:version/>
  <cp:contentType/>
  <cp:contentStatus/>
</cp:coreProperties>
</file>