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28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<sst xmlns="http://schemas.openxmlformats.org/spreadsheetml/2006/main" count="146" uniqueCount="90">
  <si>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</si>
  <si>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</si>
  <si>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</si>
  <si>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</si>
  <si>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</si>
  <si>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</si>
  <si>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</si>
  <si>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</si>
  <si>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</si>
  <si>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</si>
  <si>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</si>
  <si>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</si>
  <si>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</si>
  <si>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</si>
  <si>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</si>
  <si>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</si>
  <si>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</si>
  <si>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</si>
  <si>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</si>
  <si>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</si>
  <si>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</si>
  <si>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</si>
  <si>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</si>
  <si>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</si>
  <si>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</si>
  <si>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</si>
  <si>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</si>
  <si>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</si>
  <si>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</si>
  <si>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</si>
  <si>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</si>
  <si>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</si>
  <si>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</si>
  <si>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</si>
  <si>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</si>
  <si>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</si>
  <si>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</si>
  <si>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</si>
  <si>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</si>
  <si>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</si>
  <si>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CR Sct / GSC 5697-2825 </t>
  </si>
  <si>
    <t>IBVS 5897</t>
  </si>
  <si>
    <t>I</t>
  </si>
  <si>
    <t>EA/D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</si>
  <si>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</si>
  <si>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</si>
  <si>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</si>
  <si>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</si>
  <si>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</si>
  <si>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</si>
  <si>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</si>
  <si>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</si>
  <si>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</si>
  <si>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</si>
  <si>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</si>
  <si>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2427901.95 </t>
  </si>
  <si>
    <t> 09.04.1935 10:48 </t>
  </si>
  <si>
    <t> 0.02 </t>
  </si>
  <si>
    <t>P </t>
  </si>
  <si>
    <t> P.T.Oosterhoff </t>
  </si>
  <si>
    <t> BAN 9.389 </t>
  </si>
  <si>
    <t>2427962.82 </t>
  </si>
  <si>
    <t> 09.06.1935 07:40 </t>
  </si>
  <si>
    <t> 0.03 </t>
  </si>
  <si>
    <t>2427983.78 </t>
  </si>
  <si>
    <t> 30.06.1935 06:43 </t>
  </si>
  <si>
    <t>2428006.77 </t>
  </si>
  <si>
    <t> 23.07.1935 06:28 </t>
  </si>
  <si>
    <t>2428069.64 </t>
  </si>
  <si>
    <t> 24.09.1935 03:21 </t>
  </si>
  <si>
    <t> 0.01 </t>
  </si>
  <si>
    <t>2428719.48 </t>
  </si>
  <si>
    <t> 04.07.1937 23:31 </t>
  </si>
  <si>
    <t> 0.04 </t>
  </si>
  <si>
    <t>2428780.36 </t>
  </si>
  <si>
    <t> 03.09.1937 20:38 </t>
  </si>
  <si>
    <t> 0.07 </t>
  </si>
  <si>
    <t>2429438.50 </t>
  </si>
  <si>
    <t> 24.06.1939 00:00 </t>
  </si>
  <si>
    <t>2429457.28 </t>
  </si>
  <si>
    <t> 12.07.1939 18:43 </t>
  </si>
  <si>
    <t> -0.01 </t>
  </si>
  <si>
    <t>2454305.3571 </t>
  </si>
  <si>
    <t> 23.07.2007 20:34 </t>
  </si>
  <si>
    <t> 0.1612 </t>
  </si>
  <si>
    <t>C </t>
  </si>
  <si>
    <t>R</t>
  </si>
  <si>
    <t> A.Liakos &amp; P.Niarchos </t>
  </si>
  <si>
    <t>IBVS 5897 </t>
  </si>
  <si>
    <t>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</si>
</sst>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 Sct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0.0002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5800898"/>
        <c:axId val="32446035"/>
      </c:scatterChart>
      <c:valAx>
        <c:axId val="55800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6035"/>
        <c:crosses val="autoZero"/>
        <c:crossBetween val="midCat"/>
        <c:dispUnits/>
      </c:valAx>
      <c:valAx>
        <c:axId val="3244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89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4" ht="12.75">
      <c r="A2" t="s">
        <v>25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8">
        <v>28069.626</v>
      </c>
      <c r="D4" s="9">
        <v>4.192325</v>
      </c>
    </row>
    <row r="6" ht="12.75">
      <c r="A6" s="5" t="s">
        <v>1</v>
      </c>
    </row>
    <row r="7" spans="1:3" ht="12.75">
      <c r="A7" t="s">
        <v>2</v>
      </c>
      <c r="C7">
        <f>+C4</f>
        <v>28069.626</v>
      </c>
    </row>
    <row r="8" spans="1:3" ht="12.75">
      <c r="A8" t="s">
        <v>3</v>
      </c>
      <c r="C8">
        <f>+D4</f>
        <v>4.192325</v>
      </c>
    </row>
    <row r="9" spans="1:5" ht="12.75">
      <c r="A9" s="11" t="s">
        <v>32</v>
      </c>
      <c r="B9" s="12"/>
      <c r="C9" s="13">
        <v>-9.5</v>
      </c>
      <c r="D9" s="12" t="s">
        <v>33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0.04918874852022359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17</v>
      </c>
      <c r="B12" s="12"/>
      <c r="C12" s="24">
        <f ca="1">SLOPE(INDIRECT($G$11):G992,INDIRECT($F$11):F992)</f>
        <v>1.7908497866932104E-05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54305.35711012817</v>
      </c>
      <c r="D15" s="16" t="s">
        <v>34</v>
      </c>
      <c r="E15" s="17">
        <f ca="1">TODAY()+15018.5-B9/24</f>
        <v>59906.5</v>
      </c>
    </row>
    <row r="16" spans="1:5" ht="12.75">
      <c r="A16" s="18" t="s">
        <v>4</v>
      </c>
      <c r="B16" s="12"/>
      <c r="C16" s="19">
        <f>+C8+C12</f>
        <v>4.192342908497867</v>
      </c>
      <c r="D16" s="16" t="s">
        <v>35</v>
      </c>
      <c r="E16" s="17">
        <f>ROUND(2*(E15-C15)/C16,0)/2+1</f>
        <v>1337</v>
      </c>
    </row>
    <row r="17" spans="1:5" ht="13.5" thickBot="1">
      <c r="A17" s="16" t="s">
        <v>31</v>
      </c>
      <c r="B17" s="12"/>
      <c r="C17" s="12">
        <f>COUNT(C21:C2191)</f>
        <v>11</v>
      </c>
      <c r="D17" s="16" t="s">
        <v>36</v>
      </c>
      <c r="E17" s="20">
        <f>+C15+C16*E16-15018.5-C9/24</f>
        <v>44892.415412123155</v>
      </c>
    </row>
    <row r="18" spans="1:5" ht="14.25" thickBot="1" thickTop="1">
      <c r="A18" s="18" t="s">
        <v>5</v>
      </c>
      <c r="B18" s="12"/>
      <c r="C18" s="21">
        <f>+C15</f>
        <v>54305.35711012817</v>
      </c>
      <c r="D18" s="22">
        <f>+C16</f>
        <v>4.192342908497867</v>
      </c>
      <c r="E18" s="23" t="s">
        <v>37</v>
      </c>
    </row>
    <row r="19" spans="1:5" ht="13.5" thickTop="1">
      <c r="A19" s="27" t="s">
        <v>38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30</v>
      </c>
      <c r="I20" s="7" t="s">
        <v>39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s="44" t="s">
        <v>60</v>
      </c>
      <c r="B21" s="46" t="s">
        <v>42</v>
      </c>
      <c r="C21" s="45">
        <v>27901.95</v>
      </c>
      <c r="D21" s="10"/>
      <c r="E21">
        <f aca="true" t="shared" si="0" ref="E21:E31">+(C21-C$7)/C$8</f>
        <v>-39.99594497086926</v>
      </c>
      <c r="F21">
        <f aca="true" t="shared" si="1" ref="F21:F31">ROUND(2*E21,0)/2</f>
        <v>-40</v>
      </c>
      <c r="G21">
        <f aca="true" t="shared" si="2" ref="G21:G31">+C21-(C$7+F21*C$8)</f>
        <v>0.016999999999825377</v>
      </c>
      <c r="J21">
        <f>+G21</f>
        <v>0.016999999999825377</v>
      </c>
      <c r="O21">
        <f aca="true" t="shared" si="3" ref="O21:O31">+C$11+C$12*$F21</f>
        <v>0.04847240860554631</v>
      </c>
      <c r="Q21" s="2">
        <f aca="true" t="shared" si="4" ref="Q21:Q31">+C21-15018.5</f>
        <v>12883.45</v>
      </c>
    </row>
    <row r="22" spans="1:17" ht="12.75">
      <c r="A22" s="44" t="s">
        <v>60</v>
      </c>
      <c r="B22" s="46" t="s">
        <v>89</v>
      </c>
      <c r="C22" s="45">
        <v>27962.82</v>
      </c>
      <c r="D22" s="10"/>
      <c r="E22">
        <f t="shared" si="0"/>
        <v>-25.476555372019224</v>
      </c>
      <c r="F22">
        <f t="shared" si="1"/>
        <v>-25.5</v>
      </c>
      <c r="G22">
        <f t="shared" si="2"/>
        <v>0.09828750000087894</v>
      </c>
      <c r="J22">
        <f>+G22</f>
        <v>0.09828750000087894</v>
      </c>
      <c r="O22">
        <f t="shared" si="3"/>
        <v>0.04873208182461682</v>
      </c>
      <c r="Q22" s="2">
        <f t="shared" si="4"/>
        <v>12944.32</v>
      </c>
    </row>
    <row r="23" spans="1:17" ht="12.75">
      <c r="A23" s="44" t="s">
        <v>60</v>
      </c>
      <c r="B23" s="46" t="s">
        <v>89</v>
      </c>
      <c r="C23" s="45">
        <v>27983.78</v>
      </c>
      <c r="D23" s="10"/>
      <c r="E23">
        <f t="shared" si="0"/>
        <v>-20.47694298509809</v>
      </c>
      <c r="F23">
        <f t="shared" si="1"/>
        <v>-20.5</v>
      </c>
      <c r="G23">
        <f t="shared" si="2"/>
        <v>0.09666250000009313</v>
      </c>
      <c r="J23">
        <f>+G23</f>
        <v>0.09666250000009313</v>
      </c>
      <c r="O23">
        <f t="shared" si="3"/>
        <v>0.048821624313951484</v>
      </c>
      <c r="Q23" s="2">
        <f t="shared" si="4"/>
        <v>12965.279999999999</v>
      </c>
    </row>
    <row r="24" spans="1:17" ht="12.75">
      <c r="A24" s="44" t="s">
        <v>60</v>
      </c>
      <c r="B24" s="46" t="s">
        <v>42</v>
      </c>
      <c r="C24" s="45">
        <v>28006.77</v>
      </c>
      <c r="D24" s="10"/>
      <c r="E24">
        <f t="shared" si="0"/>
        <v>-14.993112413756034</v>
      </c>
      <c r="F24">
        <f t="shared" si="1"/>
        <v>-15</v>
      </c>
      <c r="G24">
        <f t="shared" si="2"/>
        <v>0.028874999999970896</v>
      </c>
      <c r="J24">
        <f>+G24</f>
        <v>0.028874999999970896</v>
      </c>
      <c r="O24">
        <f t="shared" si="3"/>
        <v>0.04892012105221961</v>
      </c>
      <c r="Q24" s="2">
        <f t="shared" si="4"/>
        <v>12988.27</v>
      </c>
    </row>
    <row r="25" spans="1:17" ht="12.75">
      <c r="A25" t="s">
        <v>12</v>
      </c>
      <c r="C25" s="10">
        <v>28069.626</v>
      </c>
      <c r="D25" s="10" t="s">
        <v>14</v>
      </c>
      <c r="E25">
        <f t="shared" si="0"/>
        <v>0</v>
      </c>
      <c r="F25">
        <f t="shared" si="1"/>
        <v>0</v>
      </c>
      <c r="G25">
        <f t="shared" si="2"/>
        <v>0</v>
      </c>
      <c r="H25">
        <f>+G25</f>
        <v>0</v>
      </c>
      <c r="O25">
        <f t="shared" si="3"/>
        <v>0.04918874852022359</v>
      </c>
      <c r="Q25" s="2">
        <f t="shared" si="4"/>
        <v>13051.126</v>
      </c>
    </row>
    <row r="26" spans="1:17" ht="12.75">
      <c r="A26" s="44" t="s">
        <v>60</v>
      </c>
      <c r="B26" s="46" t="s">
        <v>42</v>
      </c>
      <c r="C26" s="45">
        <v>28069.64</v>
      </c>
      <c r="D26" s="10"/>
      <c r="E26">
        <f t="shared" si="0"/>
        <v>0.0033394357544355925</v>
      </c>
      <c r="F26">
        <f t="shared" si="1"/>
        <v>0</v>
      </c>
      <c r="G26">
        <f t="shared" si="2"/>
        <v>0.013999999999214197</v>
      </c>
      <c r="J26">
        <f>+G26</f>
        <v>0.013999999999214197</v>
      </c>
      <c r="O26">
        <f t="shared" si="3"/>
        <v>0.04918874852022359</v>
      </c>
      <c r="Q26" s="2">
        <f t="shared" si="4"/>
        <v>13051.14</v>
      </c>
    </row>
    <row r="27" spans="1:17" ht="12.75">
      <c r="A27" s="44" t="s">
        <v>60</v>
      </c>
      <c r="B27" s="46" t="s">
        <v>42</v>
      </c>
      <c r="C27" s="45">
        <v>28719.48</v>
      </c>
      <c r="D27" s="10"/>
      <c r="E27">
        <f t="shared" si="0"/>
        <v>155.01040592034238</v>
      </c>
      <c r="F27">
        <f t="shared" si="1"/>
        <v>155</v>
      </c>
      <c r="G27">
        <f t="shared" si="2"/>
        <v>0.04362499999842839</v>
      </c>
      <c r="J27">
        <f>+G27</f>
        <v>0.04362499999842839</v>
      </c>
      <c r="O27">
        <f t="shared" si="3"/>
        <v>0.05196456568959806</v>
      </c>
      <c r="Q27" s="2">
        <f t="shared" si="4"/>
        <v>13700.98</v>
      </c>
    </row>
    <row r="28" spans="1:17" ht="12.75">
      <c r="A28" s="44" t="s">
        <v>60</v>
      </c>
      <c r="B28" s="46" t="s">
        <v>89</v>
      </c>
      <c r="C28" s="45">
        <v>28780.36</v>
      </c>
      <c r="D28" s="10"/>
      <c r="E28">
        <f t="shared" si="0"/>
        <v>169.53218083044618</v>
      </c>
      <c r="F28">
        <f t="shared" si="1"/>
        <v>169.5</v>
      </c>
      <c r="G28">
        <f t="shared" si="2"/>
        <v>0.13491250000151922</v>
      </c>
      <c r="J28">
        <f>+G28</f>
        <v>0.13491250000151922</v>
      </c>
      <c r="O28">
        <f t="shared" si="3"/>
        <v>0.052224238908668584</v>
      </c>
      <c r="Q28" s="2">
        <f t="shared" si="4"/>
        <v>13761.86</v>
      </c>
    </row>
    <row r="29" spans="1:17" ht="12.75">
      <c r="A29" s="44" t="s">
        <v>60</v>
      </c>
      <c r="B29" s="46" t="s">
        <v>89</v>
      </c>
      <c r="C29" s="45">
        <v>29438.5</v>
      </c>
      <c r="D29" s="10"/>
      <c r="E29">
        <f t="shared" si="0"/>
        <v>326.51905565527477</v>
      </c>
      <c r="F29">
        <f t="shared" si="1"/>
        <v>326.5</v>
      </c>
      <c r="G29">
        <f t="shared" si="2"/>
        <v>0.07988750000004075</v>
      </c>
      <c r="J29">
        <f>+G29</f>
        <v>0.07988750000004075</v>
      </c>
      <c r="O29">
        <f t="shared" si="3"/>
        <v>0.05503587307377692</v>
      </c>
      <c r="Q29" s="2">
        <f t="shared" si="4"/>
        <v>14420</v>
      </c>
    </row>
    <row r="30" spans="1:17" ht="12.75">
      <c r="A30" s="44" t="s">
        <v>60</v>
      </c>
      <c r="B30" s="46" t="s">
        <v>42</v>
      </c>
      <c r="C30" s="45">
        <v>29457.28</v>
      </c>
      <c r="D30" s="10"/>
      <c r="E30">
        <f t="shared" si="0"/>
        <v>330.99867018897595</v>
      </c>
      <c r="F30">
        <f t="shared" si="1"/>
        <v>331</v>
      </c>
      <c r="G30">
        <f t="shared" si="2"/>
        <v>-0.005575000002863817</v>
      </c>
      <c r="J30">
        <f>+G30</f>
        <v>-0.005575000002863817</v>
      </c>
      <c r="O30">
        <f t="shared" si="3"/>
        <v>0.05511646131417812</v>
      </c>
      <c r="Q30" s="2">
        <f t="shared" si="4"/>
        <v>14438.779999999999</v>
      </c>
    </row>
    <row r="31" spans="1:17" ht="12.75">
      <c r="A31" s="29" t="s">
        <v>41</v>
      </c>
      <c r="B31" s="30" t="s">
        <v>42</v>
      </c>
      <c r="C31" s="29">
        <v>54305.3571</v>
      </c>
      <c r="D31" s="29">
        <v>0.0002</v>
      </c>
      <c r="E31">
        <f t="shared" si="0"/>
        <v>6258.038463143959</v>
      </c>
      <c r="F31">
        <f t="shared" si="1"/>
        <v>6258</v>
      </c>
      <c r="G31">
        <f t="shared" si="2"/>
        <v>0.16124999999738066</v>
      </c>
      <c r="H31">
        <f>+G31</f>
        <v>0.16124999999738066</v>
      </c>
      <c r="O31">
        <f t="shared" si="3"/>
        <v>0.16126012817148472</v>
      </c>
      <c r="Q31" s="2">
        <f t="shared" si="4"/>
        <v>39286.8571</v>
      </c>
    </row>
    <row r="32" spans="2:17" ht="12.75">
      <c r="B32" s="3"/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1"/>
  <sheetViews>
    <sheetView zoomScalePageLayoutView="0" workbookViewId="0" topLeftCell="A1">
      <selection activeCell="A12" sqref="A12:C20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1" t="s">
        <v>44</v>
      </c>
      <c r="I1" s="32" t="s">
        <v>45</v>
      </c>
      <c r="J1" s="33" t="s">
        <v>46</v>
      </c>
    </row>
    <row r="2" spans="9:10" ht="12.75">
      <c r="I2" s="34" t="s">
        <v>47</v>
      </c>
      <c r="J2" s="35" t="s">
        <v>48</v>
      </c>
    </row>
    <row r="3" spans="1:10" ht="12.75">
      <c r="A3" s="36" t="s">
        <v>49</v>
      </c>
      <c r="I3" s="34" t="s">
        <v>50</v>
      </c>
      <c r="J3" s="35" t="s">
        <v>51</v>
      </c>
    </row>
    <row r="4" spans="9:10" ht="12.75">
      <c r="I4" s="34" t="s">
        <v>52</v>
      </c>
      <c r="J4" s="35" t="s">
        <v>51</v>
      </c>
    </row>
    <row r="5" spans="9:10" ht="13.5" thickBot="1">
      <c r="I5" s="37" t="s">
        <v>53</v>
      </c>
      <c r="J5" s="38" t="s">
        <v>54</v>
      </c>
    </row>
    <row r="10" ht="13.5" thickBot="1"/>
    <row r="11" spans="1:16" ht="12.75" customHeight="1" thickBot="1">
      <c r="A11" s="10" t="str">
        <f aca="true" t="shared" si="0" ref="A11:A20">P11</f>
        <v>IBVS 5897 </v>
      </c>
      <c r="B11" s="3" t="str">
        <f aca="true" t="shared" si="1" ref="B11:B20">IF(H11=INT(H11),"I","II")</f>
        <v>I</v>
      </c>
      <c r="C11" s="10">
        <f aca="true" t="shared" si="2" ref="C11:C20">1*G11</f>
        <v>54305.3571</v>
      </c>
      <c r="D11" s="12" t="str">
        <f aca="true" t="shared" si="3" ref="D11:D20">VLOOKUP(F11,I$1:J$5,2,FALSE)</f>
        <v>vis</v>
      </c>
      <c r="E11" s="39">
        <f>VLOOKUP(C11,A!C$21:E$973,3,FALSE)</f>
        <v>6258.038463143959</v>
      </c>
      <c r="F11" s="3" t="s">
        <v>53</v>
      </c>
      <c r="G11" s="12" t="str">
        <f aca="true" t="shared" si="4" ref="G11:G20">MID(I11,3,LEN(I11)-3)</f>
        <v>54305.3571</v>
      </c>
      <c r="H11" s="10">
        <f aca="true" t="shared" si="5" ref="H11:H20">1*K11</f>
        <v>6258</v>
      </c>
      <c r="I11" s="40" t="s">
        <v>82</v>
      </c>
      <c r="J11" s="41" t="s">
        <v>83</v>
      </c>
      <c r="K11" s="40">
        <v>6258</v>
      </c>
      <c r="L11" s="40" t="s">
        <v>84</v>
      </c>
      <c r="M11" s="41" t="s">
        <v>85</v>
      </c>
      <c r="N11" s="41" t="s">
        <v>86</v>
      </c>
      <c r="O11" s="42" t="s">
        <v>87</v>
      </c>
      <c r="P11" s="43" t="s">
        <v>88</v>
      </c>
    </row>
    <row r="12" spans="1:16" ht="12.75" customHeight="1" thickBot="1">
      <c r="A12" s="10" t="str">
        <f t="shared" si="0"/>
        <v> BAN 9.389 </v>
      </c>
      <c r="B12" s="3" t="str">
        <f t="shared" si="1"/>
        <v>I</v>
      </c>
      <c r="C12" s="10">
        <f t="shared" si="2"/>
        <v>27901.95</v>
      </c>
      <c r="D12" s="12" t="str">
        <f t="shared" si="3"/>
        <v>vis</v>
      </c>
      <c r="E12" s="39">
        <f>VLOOKUP(C12,A!C$21:E$973,3,FALSE)</f>
        <v>-39.99594497086926</v>
      </c>
      <c r="F12" s="3" t="s">
        <v>53</v>
      </c>
      <c r="G12" s="12" t="str">
        <f t="shared" si="4"/>
        <v>27901.95</v>
      </c>
      <c r="H12" s="10">
        <f t="shared" si="5"/>
        <v>-40</v>
      </c>
      <c r="I12" s="40" t="s">
        <v>55</v>
      </c>
      <c r="J12" s="41" t="s">
        <v>56</v>
      </c>
      <c r="K12" s="40">
        <v>-40</v>
      </c>
      <c r="L12" s="40" t="s">
        <v>57</v>
      </c>
      <c r="M12" s="41" t="s">
        <v>58</v>
      </c>
      <c r="N12" s="41"/>
      <c r="O12" s="42" t="s">
        <v>59</v>
      </c>
      <c r="P12" s="42" t="s">
        <v>60</v>
      </c>
    </row>
    <row r="13" spans="1:16" ht="12.75" customHeight="1" thickBot="1">
      <c r="A13" s="10" t="str">
        <f t="shared" si="0"/>
        <v> BAN 9.389 </v>
      </c>
      <c r="B13" s="3" t="str">
        <f t="shared" si="1"/>
        <v>II</v>
      </c>
      <c r="C13" s="10">
        <f t="shared" si="2"/>
        <v>27962.82</v>
      </c>
      <c r="D13" s="12" t="str">
        <f t="shared" si="3"/>
        <v>vis</v>
      </c>
      <c r="E13" s="39">
        <f>VLOOKUP(C13,A!C$21:E$973,3,FALSE)</f>
        <v>-25.476555372019224</v>
      </c>
      <c r="F13" s="3" t="s">
        <v>53</v>
      </c>
      <c r="G13" s="12" t="str">
        <f t="shared" si="4"/>
        <v>27962.82</v>
      </c>
      <c r="H13" s="10">
        <f t="shared" si="5"/>
        <v>-25.5</v>
      </c>
      <c r="I13" s="40" t="s">
        <v>61</v>
      </c>
      <c r="J13" s="41" t="s">
        <v>62</v>
      </c>
      <c r="K13" s="40">
        <v>-25.5</v>
      </c>
      <c r="L13" s="40" t="s">
        <v>63</v>
      </c>
      <c r="M13" s="41" t="s">
        <v>58</v>
      </c>
      <c r="N13" s="41"/>
      <c r="O13" s="42" t="s">
        <v>59</v>
      </c>
      <c r="P13" s="42" t="s">
        <v>60</v>
      </c>
    </row>
    <row r="14" spans="1:16" ht="12.75" customHeight="1" thickBot="1">
      <c r="A14" s="10" t="str">
        <f t="shared" si="0"/>
        <v> BAN 9.389 </v>
      </c>
      <c r="B14" s="3" t="str">
        <f t="shared" si="1"/>
        <v>II</v>
      </c>
      <c r="C14" s="10">
        <f t="shared" si="2"/>
        <v>27983.78</v>
      </c>
      <c r="D14" s="12" t="str">
        <f t="shared" si="3"/>
        <v>vis</v>
      </c>
      <c r="E14" s="39">
        <f>VLOOKUP(C14,A!C$21:E$973,3,FALSE)</f>
        <v>-20.47694298509809</v>
      </c>
      <c r="F14" s="3" t="s">
        <v>53</v>
      </c>
      <c r="G14" s="12" t="str">
        <f t="shared" si="4"/>
        <v>27983.78</v>
      </c>
      <c r="H14" s="10">
        <f t="shared" si="5"/>
        <v>-20.5</v>
      </c>
      <c r="I14" s="40" t="s">
        <v>64</v>
      </c>
      <c r="J14" s="41" t="s">
        <v>65</v>
      </c>
      <c r="K14" s="40">
        <v>-20.5</v>
      </c>
      <c r="L14" s="40" t="s">
        <v>63</v>
      </c>
      <c r="M14" s="41" t="s">
        <v>58</v>
      </c>
      <c r="N14" s="41"/>
      <c r="O14" s="42" t="s">
        <v>59</v>
      </c>
      <c r="P14" s="42" t="s">
        <v>60</v>
      </c>
    </row>
    <row r="15" spans="1:16" ht="12.75" customHeight="1" thickBot="1">
      <c r="A15" s="10" t="str">
        <f t="shared" si="0"/>
        <v> BAN 9.389 </v>
      </c>
      <c r="B15" s="3" t="str">
        <f t="shared" si="1"/>
        <v>I</v>
      </c>
      <c r="C15" s="10">
        <f t="shared" si="2"/>
        <v>28006.77</v>
      </c>
      <c r="D15" s="12" t="str">
        <f t="shared" si="3"/>
        <v>vis</v>
      </c>
      <c r="E15" s="39">
        <f>VLOOKUP(C15,A!C$21:E$973,3,FALSE)</f>
        <v>-14.993112413756034</v>
      </c>
      <c r="F15" s="3" t="s">
        <v>53</v>
      </c>
      <c r="G15" s="12" t="str">
        <f t="shared" si="4"/>
        <v>28006.77</v>
      </c>
      <c r="H15" s="10">
        <f t="shared" si="5"/>
        <v>-15</v>
      </c>
      <c r="I15" s="40" t="s">
        <v>66</v>
      </c>
      <c r="J15" s="41" t="s">
        <v>67</v>
      </c>
      <c r="K15" s="40">
        <v>-15</v>
      </c>
      <c r="L15" s="40" t="s">
        <v>63</v>
      </c>
      <c r="M15" s="41" t="s">
        <v>58</v>
      </c>
      <c r="N15" s="41"/>
      <c r="O15" s="42" t="s">
        <v>59</v>
      </c>
      <c r="P15" s="42" t="s">
        <v>60</v>
      </c>
    </row>
    <row r="16" spans="1:16" ht="12.75" customHeight="1" thickBot="1">
      <c r="A16" s="10" t="str">
        <f t="shared" si="0"/>
        <v> BAN 9.389 </v>
      </c>
      <c r="B16" s="3" t="str">
        <f t="shared" si="1"/>
        <v>I</v>
      </c>
      <c r="C16" s="10">
        <f t="shared" si="2"/>
        <v>28069.64</v>
      </c>
      <c r="D16" s="12" t="str">
        <f t="shared" si="3"/>
        <v>vis</v>
      </c>
      <c r="E16" s="39">
        <f>VLOOKUP(C16,A!C$21:E$973,3,FALSE)</f>
        <v>0.0033394357544355925</v>
      </c>
      <c r="F16" s="3" t="s">
        <v>53</v>
      </c>
      <c r="G16" s="12" t="str">
        <f t="shared" si="4"/>
        <v>28069.64</v>
      </c>
      <c r="H16" s="10">
        <f t="shared" si="5"/>
        <v>0</v>
      </c>
      <c r="I16" s="40" t="s">
        <v>68</v>
      </c>
      <c r="J16" s="41" t="s">
        <v>69</v>
      </c>
      <c r="K16" s="40">
        <v>0</v>
      </c>
      <c r="L16" s="40" t="s">
        <v>70</v>
      </c>
      <c r="M16" s="41" t="s">
        <v>58</v>
      </c>
      <c r="N16" s="41"/>
      <c r="O16" s="42" t="s">
        <v>59</v>
      </c>
      <c r="P16" s="42" t="s">
        <v>60</v>
      </c>
    </row>
    <row r="17" spans="1:16" ht="12.75" customHeight="1" thickBot="1">
      <c r="A17" s="10" t="str">
        <f t="shared" si="0"/>
        <v> BAN 9.389 </v>
      </c>
      <c r="B17" s="3" t="str">
        <f t="shared" si="1"/>
        <v>I</v>
      </c>
      <c r="C17" s="10">
        <f t="shared" si="2"/>
        <v>28719.48</v>
      </c>
      <c r="D17" s="12" t="str">
        <f t="shared" si="3"/>
        <v>vis</v>
      </c>
      <c r="E17" s="39">
        <f>VLOOKUP(C17,A!C$21:E$973,3,FALSE)</f>
        <v>155.01040592034238</v>
      </c>
      <c r="F17" s="3" t="s">
        <v>53</v>
      </c>
      <c r="G17" s="12" t="str">
        <f t="shared" si="4"/>
        <v>28719.48</v>
      </c>
      <c r="H17" s="10">
        <f t="shared" si="5"/>
        <v>155</v>
      </c>
      <c r="I17" s="40" t="s">
        <v>71</v>
      </c>
      <c r="J17" s="41" t="s">
        <v>72</v>
      </c>
      <c r="K17" s="40">
        <v>155</v>
      </c>
      <c r="L17" s="40" t="s">
        <v>73</v>
      </c>
      <c r="M17" s="41" t="s">
        <v>58</v>
      </c>
      <c r="N17" s="41"/>
      <c r="O17" s="42" t="s">
        <v>59</v>
      </c>
      <c r="P17" s="42" t="s">
        <v>60</v>
      </c>
    </row>
    <row r="18" spans="1:16" ht="12.75" customHeight="1" thickBot="1">
      <c r="A18" s="10" t="str">
        <f t="shared" si="0"/>
        <v> BAN 9.389 </v>
      </c>
      <c r="B18" s="3" t="str">
        <f t="shared" si="1"/>
        <v>II</v>
      </c>
      <c r="C18" s="10">
        <f t="shared" si="2"/>
        <v>28780.36</v>
      </c>
      <c r="D18" s="12" t="str">
        <f t="shared" si="3"/>
        <v>vis</v>
      </c>
      <c r="E18" s="39">
        <f>VLOOKUP(C18,A!C$21:E$973,3,FALSE)</f>
        <v>169.53218083044618</v>
      </c>
      <c r="F18" s="3" t="s">
        <v>53</v>
      </c>
      <c r="G18" s="12" t="str">
        <f t="shared" si="4"/>
        <v>28780.36</v>
      </c>
      <c r="H18" s="10">
        <f t="shared" si="5"/>
        <v>169.5</v>
      </c>
      <c r="I18" s="40" t="s">
        <v>74</v>
      </c>
      <c r="J18" s="41" t="s">
        <v>75</v>
      </c>
      <c r="K18" s="40">
        <v>169.5</v>
      </c>
      <c r="L18" s="40" t="s">
        <v>76</v>
      </c>
      <c r="M18" s="41" t="s">
        <v>58</v>
      </c>
      <c r="N18" s="41"/>
      <c r="O18" s="42" t="s">
        <v>59</v>
      </c>
      <c r="P18" s="42" t="s">
        <v>60</v>
      </c>
    </row>
    <row r="19" spans="1:16" ht="12.75" customHeight="1" thickBot="1">
      <c r="A19" s="10" t="str">
        <f t="shared" si="0"/>
        <v> BAN 9.389 </v>
      </c>
      <c r="B19" s="3" t="str">
        <f t="shared" si="1"/>
        <v>II</v>
      </c>
      <c r="C19" s="10">
        <f t="shared" si="2"/>
        <v>29438.5</v>
      </c>
      <c r="D19" s="12" t="str">
        <f t="shared" si="3"/>
        <v>vis</v>
      </c>
      <c r="E19" s="39">
        <f>VLOOKUP(C19,A!C$21:E$973,3,FALSE)</f>
        <v>326.51905565527477</v>
      </c>
      <c r="F19" s="3" t="s">
        <v>53</v>
      </c>
      <c r="G19" s="12" t="str">
        <f t="shared" si="4"/>
        <v>29438.50</v>
      </c>
      <c r="H19" s="10">
        <f t="shared" si="5"/>
        <v>326.5</v>
      </c>
      <c r="I19" s="40" t="s">
        <v>77</v>
      </c>
      <c r="J19" s="41" t="s">
        <v>78</v>
      </c>
      <c r="K19" s="40">
        <v>326.5</v>
      </c>
      <c r="L19" s="40" t="s">
        <v>57</v>
      </c>
      <c r="M19" s="41" t="s">
        <v>58</v>
      </c>
      <c r="N19" s="41"/>
      <c r="O19" s="42" t="s">
        <v>59</v>
      </c>
      <c r="P19" s="42" t="s">
        <v>60</v>
      </c>
    </row>
    <row r="20" spans="1:16" ht="12.75" customHeight="1" thickBot="1">
      <c r="A20" s="10" t="str">
        <f t="shared" si="0"/>
        <v> BAN 9.389 </v>
      </c>
      <c r="B20" s="3" t="str">
        <f t="shared" si="1"/>
        <v>I</v>
      </c>
      <c r="C20" s="10">
        <f t="shared" si="2"/>
        <v>29457.28</v>
      </c>
      <c r="D20" s="12" t="str">
        <f t="shared" si="3"/>
        <v>vis</v>
      </c>
      <c r="E20" s="39">
        <f>VLOOKUP(C20,A!C$21:E$973,3,FALSE)</f>
        <v>330.99867018897595</v>
      </c>
      <c r="F20" s="3" t="s">
        <v>53</v>
      </c>
      <c r="G20" s="12" t="str">
        <f t="shared" si="4"/>
        <v>29457.28</v>
      </c>
      <c r="H20" s="10">
        <f t="shared" si="5"/>
        <v>331</v>
      </c>
      <c r="I20" s="40" t="s">
        <v>79</v>
      </c>
      <c r="J20" s="41" t="s">
        <v>80</v>
      </c>
      <c r="K20" s="40">
        <v>331</v>
      </c>
      <c r="L20" s="40" t="s">
        <v>81</v>
      </c>
      <c r="M20" s="41" t="s">
        <v>58</v>
      </c>
      <c r="N20" s="41"/>
      <c r="O20" s="42" t="s">
        <v>59</v>
      </c>
      <c r="P20" s="42" t="s">
        <v>60</v>
      </c>
    </row>
    <row r="21" spans="2:6" ht="12.75">
      <c r="B21" s="3"/>
      <c r="E21" s="39"/>
      <c r="F21" s="3"/>
    </row>
    <row r="22" spans="2:6" ht="12.75">
      <c r="B22" s="3"/>
      <c r="E22" s="39"/>
      <c r="F22" s="3"/>
    </row>
    <row r="23" spans="2:6" ht="12.75">
      <c r="B23" s="3"/>
      <c r="E23" s="39"/>
      <c r="F23" s="3"/>
    </row>
    <row r="24" spans="2:6" ht="12.75">
      <c r="B24" s="3"/>
      <c r="E24" s="39"/>
      <c r="F24" s="3"/>
    </row>
    <row r="25" spans="2:6" ht="12.75">
      <c r="B25" s="3"/>
      <c r="E25" s="39"/>
      <c r="F25" s="3"/>
    </row>
    <row r="26" spans="2:6" ht="12.75">
      <c r="B26" s="3"/>
      <c r="E26" s="39"/>
      <c r="F26" s="3"/>
    </row>
    <row r="27" spans="2:6" ht="12.75">
      <c r="B27" s="3"/>
      <c r="E27" s="39"/>
      <c r="F27" s="3"/>
    </row>
    <row r="28" spans="2:6" ht="12.75">
      <c r="B28" s="3"/>
      <c r="E28" s="39"/>
      <c r="F28" s="3"/>
    </row>
    <row r="29" spans="2:6" ht="12.75">
      <c r="B29" s="3"/>
      <c r="E29" s="39"/>
      <c r="F29" s="3"/>
    </row>
    <row r="30" spans="2:6" ht="12.75">
      <c r="B30" s="3"/>
      <c r="E30" s="39"/>
      <c r="F30" s="3"/>
    </row>
    <row r="31" spans="2:6" ht="12.75">
      <c r="B31" s="3"/>
      <c r="E31" s="39"/>
      <c r="F31" s="3"/>
    </row>
    <row r="32" spans="2:6" ht="12.75">
      <c r="B32" s="3"/>
      <c r="E32" s="39"/>
      <c r="F32" s="3"/>
    </row>
    <row r="33" spans="2:6" ht="12.75">
      <c r="B33" s="3"/>
      <c r="E33" s="39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</sheetData>
  <sheetProtection/>
  <hyperlinks>
    <hyperlink ref="P11" r:id="rId1" display="http://www.konkoly.hu/cgi-bin/IBVS?589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