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<sst xmlns="http://schemas.openxmlformats.org/spreadsheetml/2006/main" count="230" uniqueCount="122">
  <si>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</si>
  <si>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</si>
  <si>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</si>
  <si>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</si>
  <si>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</si>
  <si>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</si>
  <si>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</si>
  <si>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</si>
  <si>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</si>
  <si>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</si>
  <si>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</si>
  <si>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</si>
  <si>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</si>
  <si>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</si>
  <si>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</si>
  <si>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</si>
  <si>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</si>
  <si>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</si>
  <si>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</si>
  <si>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</si>
  <si>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</si>
  <si>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</si>
  <si>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</si>
  <si>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</si>
  <si>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</si>
  <si>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</si>
  <si>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</si>
  <si>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</si>
  <si>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</si>
  <si>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</si>
  <si>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</si>
  <si>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Martignoni M</t>
  </si>
  <si>
    <t>BBSAG Bull.115</t>
  </si>
  <si>
    <t>B</t>
  </si>
  <si>
    <t>II</t>
  </si>
  <si>
    <t>BBSAG</t>
  </si>
  <si>
    <t># of data points:</t>
  </si>
  <si>
    <t>EA/D</t>
  </si>
  <si>
    <t>GM Sct / gsc 5697-0651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</si>
  <si>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</si>
  <si>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</si>
  <si>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</si>
  <si>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</si>
  <si>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</si>
  <si>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</si>
  <si>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</si>
  <si>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</si>
  <si>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</si>
  <si>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</si>
  <si>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</si>
  <si>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2427962.816 </t>
  </si>
  <si>
    <t> 09.06.1935 07:35 </t>
  </si>
  <si>
    <t> -0.034 </t>
  </si>
  <si>
    <t>P </t>
  </si>
  <si>
    <t> M.Harwood </t>
  </si>
  <si>
    <t> AOLD 21.437 </t>
  </si>
  <si>
    <t>2427984.697 </t>
  </si>
  <si>
    <t> 01.07.1935 04:43 </t>
  </si>
  <si>
    <t> 0.001 </t>
  </si>
  <si>
    <t>2428081.677 </t>
  </si>
  <si>
    <t> 06.10.1935 04:14 </t>
  </si>
  <si>
    <t> 0.042 </t>
  </si>
  <si>
    <t>2428727.465 </t>
  </si>
  <si>
    <t> 12.07.1937 23:09 </t>
  </si>
  <si>
    <t> 0.019 </t>
  </si>
  <si>
    <t>2428753.342 </t>
  </si>
  <si>
    <t> 07.08.1937 20:12 </t>
  </si>
  <si>
    <t> -0.046 </t>
  </si>
  <si>
    <t>2428753.363 </t>
  </si>
  <si>
    <t> 07.08.1937 20:42 </t>
  </si>
  <si>
    <t> -0.025 </t>
  </si>
  <si>
    <t>2428779.335 </t>
  </si>
  <si>
    <t> 02.09.1937 20:02 </t>
  </si>
  <si>
    <t> 0.006 </t>
  </si>
  <si>
    <t>2429015.507 </t>
  </si>
  <si>
    <t> 27.04.1938 00:10 </t>
  </si>
  <si>
    <t> -0.028 </t>
  </si>
  <si>
    <t>2429015.529 </t>
  </si>
  <si>
    <t> 27.04.1938 00:41 </t>
  </si>
  <si>
    <t> -0.006 </t>
  </si>
  <si>
    <t>2429082.469 </t>
  </si>
  <si>
    <t> 02.07.1938 23:15 </t>
  </si>
  <si>
    <t> 0.032 </t>
  </si>
  <si>
    <t>2429407.416 </t>
  </si>
  <si>
    <t> 23.05.1939 21:59 </t>
  </si>
  <si>
    <t> 0.026 </t>
  </si>
  <si>
    <t>2429437.418 </t>
  </si>
  <si>
    <t> 22.06.1939 22:01 </t>
  </si>
  <si>
    <t> -0.010 </t>
  </si>
  <si>
    <t>2429463.388 </t>
  </si>
  <si>
    <t> 18.07.1939 21:18 </t>
  </si>
  <si>
    <t> 0.018 </t>
  </si>
  <si>
    <t>2429467.448 </t>
  </si>
  <si>
    <t> 22.07.1939 22:45 </t>
  </si>
  <si>
    <t> -0.018 </t>
  </si>
  <si>
    <t>2429467.471 </t>
  </si>
  <si>
    <t> 22.07.1939 23:18 </t>
  </si>
  <si>
    <t> 0.005 </t>
  </si>
  <si>
    <t>2429467.493 </t>
  </si>
  <si>
    <t> 22.07.1939 23:49 </t>
  </si>
  <si>
    <t> 0.027 </t>
  </si>
  <si>
    <t>2429519.295 </t>
  </si>
  <si>
    <t> 12.09.1939 19:04 </t>
  </si>
  <si>
    <t> -0.054 </t>
  </si>
  <si>
    <t>2429519.318 </t>
  </si>
  <si>
    <t> 12.09.1939 19:37 </t>
  </si>
  <si>
    <t> -0.031 </t>
  </si>
  <si>
    <t>2450290.422 </t>
  </si>
  <si>
    <t> 25.07.1996 22:07 </t>
  </si>
  <si>
    <t> 0.003 </t>
  </si>
  <si>
    <t>V </t>
  </si>
  <si>
    <t> M.Martignoni </t>
  </si>
  <si>
    <t> BBS 115 </t>
  </si>
  <si>
    <t>I</t>
  </si>
  <si>
    <t>My time zone &gt;&gt;&gt;&gt;&gt;</t>
  </si>
  <si>
    <t>(PST=8, PDT=MDT=7, MDT=CST=6, etc.)</t>
  </si>
  <si>
    <t>Start of linear fit (row #)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</si>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</sst>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Sct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7006684"/>
        <c:axId val="18842429"/>
      </c:scatterChart>
      <c:val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crossBetween val="midCat"/>
        <c:dispUnits/>
      </c:valAx>
      <c:valAx>
        <c:axId val="1884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66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196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5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8" t="s">
        <v>37</v>
      </c>
    </row>
    <row r="4" spans="1:4" ht="12.75">
      <c r="A4" s="8" t="s">
        <v>0</v>
      </c>
      <c r="C4" s="3">
        <v>27962.85</v>
      </c>
      <c r="D4" s="4">
        <v>2.7307</v>
      </c>
    </row>
    <row r="5" spans="1:4" ht="12.75">
      <c r="A5" s="35" t="s">
        <v>114</v>
      </c>
      <c r="B5" s="20"/>
      <c r="C5" s="36">
        <v>-9.5</v>
      </c>
      <c r="D5" s="20" t="s">
        <v>115</v>
      </c>
    </row>
    <row r="6" ht="12.75">
      <c r="A6" s="8" t="s">
        <v>1</v>
      </c>
    </row>
    <row r="7" spans="1:3" ht="12.75">
      <c r="A7" t="s">
        <v>2</v>
      </c>
      <c r="C7">
        <f>+C4</f>
        <v>27962.85</v>
      </c>
    </row>
    <row r="8" spans="1:3" ht="12.75">
      <c r="A8" t="s">
        <v>3</v>
      </c>
      <c r="C8">
        <f>+D4</f>
        <v>2.7307</v>
      </c>
    </row>
    <row r="9" spans="1:4" ht="12.75">
      <c r="A9" s="37" t="s">
        <v>116</v>
      </c>
      <c r="B9" s="38">
        <v>21</v>
      </c>
      <c r="C9" s="39" t="str">
        <f>"F"&amp;B9</f>
        <v>F21</v>
      </c>
      <c r="D9" s="39" t="str">
        <f>"G"&amp;B9</f>
        <v>G21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15">
        <f ca="1">INTERCEPT(INDIRECT(D9):G1005,INDIRECT(C9):$F1005)</f>
        <v>-0.0041581414599012505</v>
      </c>
      <c r="D11" s="6"/>
    </row>
    <row r="12" spans="1:4" ht="12.75">
      <c r="A12" t="s">
        <v>17</v>
      </c>
      <c r="C12" s="15">
        <f ca="1">SLOPE(INDIRECT(D9):G1005,INDIRECT(C9):$F1005)</f>
        <v>8.153572936085103E-07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3">
        <f>(C7+C11)+(C8+C12)*INT(MAX(F21:F3533))</f>
        <v>50289.05570821978</v>
      </c>
      <c r="D15" s="11">
        <v>50290.422</v>
      </c>
      <c r="E15" s="40" t="s">
        <v>117</v>
      </c>
      <c r="F15" s="36">
        <v>1</v>
      </c>
    </row>
    <row r="16" spans="1:6" ht="12.75">
      <c r="A16" s="8" t="s">
        <v>4</v>
      </c>
      <c r="C16" s="14">
        <f>+C8+C12</f>
        <v>2.730700815357294</v>
      </c>
      <c r="E16" s="40" t="s">
        <v>118</v>
      </c>
      <c r="F16" s="41">
        <f ca="1">NOW()+15018.5+$C$5/24</f>
        <v>59906.78827974537</v>
      </c>
    </row>
    <row r="17" spans="1:6" ht="13.5" thickBot="1">
      <c r="A17" s="15" t="s">
        <v>36</v>
      </c>
      <c r="B17"/>
      <c r="C17">
        <f>COUNT(C21:C2191)</f>
        <v>20</v>
      </c>
      <c r="E17" s="40" t="s">
        <v>119</v>
      </c>
      <c r="F17" s="41">
        <f>ROUND(2*(F16-$C$7)/$C$8,0)/2+F15</f>
        <v>11699</v>
      </c>
    </row>
    <row r="18" spans="1:6" ht="12.75">
      <c r="A18" s="8" t="s">
        <v>5</v>
      </c>
      <c r="C18" s="3">
        <f>+C15</f>
        <v>50289.05570821978</v>
      </c>
      <c r="D18" s="4">
        <f>+C16</f>
        <v>2.730700815357294</v>
      </c>
      <c r="E18" s="40" t="s">
        <v>120</v>
      </c>
      <c r="F18" s="42">
        <f>ROUND(2*(F16-$C$15)/$C$16,0)/2+F15</f>
        <v>3523</v>
      </c>
    </row>
    <row r="19" spans="5:6" ht="13.5" thickTop="1">
      <c r="E19" s="40" t="s">
        <v>121</v>
      </c>
      <c r="F19" s="43">
        <f>+$C$15+$C$16*F18-15018.5-$C$5/24</f>
        <v>44891.21051405686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s="32" t="s">
        <v>55</v>
      </c>
      <c r="B21" s="33" t="s">
        <v>113</v>
      </c>
      <c r="C21" s="34">
        <v>27962.816</v>
      </c>
      <c r="D21" s="16"/>
      <c r="E21">
        <f aca="true" t="shared" si="0" ref="E21:E40">+(C21-C$7)/C$8</f>
        <v>-0.012451019884883273</v>
      </c>
      <c r="F21">
        <f aca="true" t="shared" si="1" ref="F21:F40">ROUND(2*E21,0)/2</f>
        <v>0</v>
      </c>
      <c r="G21">
        <f aca="true" t="shared" si="2" ref="G21:G40">+C21-(C$7+F21*C$8)</f>
        <v>-0.033999999999650754</v>
      </c>
      <c r="K21">
        <f>+G21</f>
        <v>-0.033999999999650754</v>
      </c>
      <c r="O21">
        <f aca="true" t="shared" si="3" ref="O21:O40">+C$11+C$12*$F21</f>
        <v>-0.0041581414599012505</v>
      </c>
      <c r="Q21" s="2">
        <f aca="true" t="shared" si="4" ref="Q21:Q40">+C21-15018.5</f>
        <v>12944.315999999999</v>
      </c>
    </row>
    <row r="22" spans="1:17" ht="12.75">
      <c r="A22" t="s">
        <v>12</v>
      </c>
      <c r="C22" s="16">
        <v>27962.85</v>
      </c>
      <c r="D22" s="16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si="3"/>
        <v>-0.0041581414599012505</v>
      </c>
      <c r="Q22" s="2">
        <f t="shared" si="4"/>
        <v>12944.349999999999</v>
      </c>
    </row>
    <row r="23" spans="1:17" ht="12.75">
      <c r="A23" s="32" t="s">
        <v>55</v>
      </c>
      <c r="B23" s="33" t="s">
        <v>113</v>
      </c>
      <c r="C23" s="34">
        <v>27984.697</v>
      </c>
      <c r="D23" s="16"/>
      <c r="E23">
        <f t="shared" si="0"/>
        <v>8.000512689054665</v>
      </c>
      <c r="F23">
        <f t="shared" si="1"/>
        <v>8</v>
      </c>
      <c r="G23">
        <f t="shared" si="2"/>
        <v>0.0014000000010128133</v>
      </c>
      <c r="K23">
        <f aca="true" t="shared" si="5" ref="K23:K39">+G23</f>
        <v>0.0014000000010128133</v>
      </c>
      <c r="O23">
        <f t="shared" si="3"/>
        <v>-0.004151618601552383</v>
      </c>
      <c r="Q23" s="2">
        <f t="shared" si="4"/>
        <v>12966.197</v>
      </c>
    </row>
    <row r="24" spans="1:17" ht="12.75">
      <c r="A24" s="32" t="s">
        <v>55</v>
      </c>
      <c r="B24" s="33" t="s">
        <v>34</v>
      </c>
      <c r="C24" s="34">
        <v>28081.677</v>
      </c>
      <c r="D24" s="16"/>
      <c r="E24">
        <f t="shared" si="0"/>
        <v>43.51521587871283</v>
      </c>
      <c r="F24">
        <f t="shared" si="1"/>
        <v>43.5</v>
      </c>
      <c r="G24">
        <f t="shared" si="2"/>
        <v>0.04155000000173459</v>
      </c>
      <c r="K24">
        <f t="shared" si="5"/>
        <v>0.04155000000173459</v>
      </c>
      <c r="O24">
        <f t="shared" si="3"/>
        <v>-0.00412267341762928</v>
      </c>
      <c r="Q24" s="2">
        <f t="shared" si="4"/>
        <v>13063.177</v>
      </c>
    </row>
    <row r="25" spans="1:17" ht="12.75">
      <c r="A25" s="32" t="s">
        <v>55</v>
      </c>
      <c r="B25" s="33" t="s">
        <v>113</v>
      </c>
      <c r="C25" s="34">
        <v>28727.465</v>
      </c>
      <c r="D25" s="16"/>
      <c r="E25">
        <f t="shared" si="0"/>
        <v>280.0069579228775</v>
      </c>
      <c r="F25">
        <f t="shared" si="1"/>
        <v>280</v>
      </c>
      <c r="G25">
        <f t="shared" si="2"/>
        <v>0.01900000000023283</v>
      </c>
      <c r="K25">
        <f t="shared" si="5"/>
        <v>0.01900000000023283</v>
      </c>
      <c r="O25">
        <f t="shared" si="3"/>
        <v>-0.003929841417690868</v>
      </c>
      <c r="Q25" s="2">
        <f t="shared" si="4"/>
        <v>13708.965</v>
      </c>
    </row>
    <row r="26" spans="1:17" ht="12.75">
      <c r="A26" s="32" t="s">
        <v>55</v>
      </c>
      <c r="B26" s="33" t="s">
        <v>34</v>
      </c>
      <c r="C26" s="34">
        <v>28753.342</v>
      </c>
      <c r="D26" s="16"/>
      <c r="E26">
        <f t="shared" si="0"/>
        <v>289.48328267477274</v>
      </c>
      <c r="F26">
        <f t="shared" si="1"/>
        <v>289.5</v>
      </c>
      <c r="G26">
        <f t="shared" si="2"/>
        <v>-0.045649999996385304</v>
      </c>
      <c r="K26">
        <f t="shared" si="5"/>
        <v>-0.045649999996385304</v>
      </c>
      <c r="O26">
        <f t="shared" si="3"/>
        <v>-0.003922095523401586</v>
      </c>
      <c r="Q26" s="2">
        <f t="shared" si="4"/>
        <v>13734.842</v>
      </c>
    </row>
    <row r="27" spans="1:17" ht="12.75">
      <c r="A27" s="32" t="s">
        <v>55</v>
      </c>
      <c r="B27" s="33" t="s">
        <v>34</v>
      </c>
      <c r="C27" s="34">
        <v>28753.363</v>
      </c>
      <c r="D27" s="16"/>
      <c r="E27">
        <f t="shared" si="0"/>
        <v>289.4909730105843</v>
      </c>
      <c r="F27">
        <f t="shared" si="1"/>
        <v>289.5</v>
      </c>
      <c r="G27">
        <f t="shared" si="2"/>
        <v>-0.02464999999574502</v>
      </c>
      <c r="K27">
        <f t="shared" si="5"/>
        <v>-0.02464999999574502</v>
      </c>
      <c r="O27">
        <f t="shared" si="3"/>
        <v>-0.003922095523401586</v>
      </c>
      <c r="Q27" s="2">
        <f t="shared" si="4"/>
        <v>13734.863000000001</v>
      </c>
    </row>
    <row r="28" spans="1:17" ht="12.75">
      <c r="A28" s="32" t="s">
        <v>55</v>
      </c>
      <c r="B28" s="33" t="s">
        <v>113</v>
      </c>
      <c r="C28" s="34">
        <v>28779.335</v>
      </c>
      <c r="D28" s="16"/>
      <c r="E28">
        <f t="shared" si="0"/>
        <v>299.0020873768633</v>
      </c>
      <c r="F28">
        <f t="shared" si="1"/>
        <v>299</v>
      </c>
      <c r="G28">
        <f t="shared" si="2"/>
        <v>0.005700000001525041</v>
      </c>
      <c r="K28">
        <f t="shared" si="5"/>
        <v>0.005700000001525041</v>
      </c>
      <c r="O28">
        <f t="shared" si="3"/>
        <v>-0.003914349629112306</v>
      </c>
      <c r="Q28" s="2">
        <f t="shared" si="4"/>
        <v>13760.835</v>
      </c>
    </row>
    <row r="29" spans="1:17" ht="12.75">
      <c r="A29" s="32" t="s">
        <v>55</v>
      </c>
      <c r="B29" s="33" t="s">
        <v>34</v>
      </c>
      <c r="C29" s="34">
        <v>29015.507</v>
      </c>
      <c r="D29" s="16"/>
      <c r="E29">
        <f t="shared" si="0"/>
        <v>385.48980114988933</v>
      </c>
      <c r="F29">
        <f t="shared" si="1"/>
        <v>385.5</v>
      </c>
      <c r="G29">
        <f t="shared" si="2"/>
        <v>-0.027849999998579733</v>
      </c>
      <c r="K29">
        <f t="shared" si="5"/>
        <v>-0.027849999998579733</v>
      </c>
      <c r="O29">
        <f t="shared" si="3"/>
        <v>-0.0038438212232151697</v>
      </c>
      <c r="Q29" s="2">
        <f t="shared" si="4"/>
        <v>13997.007000000001</v>
      </c>
    </row>
    <row r="30" spans="1:17" ht="12.75">
      <c r="A30" s="32" t="s">
        <v>55</v>
      </c>
      <c r="B30" s="33" t="s">
        <v>34</v>
      </c>
      <c r="C30" s="34">
        <v>29015.529</v>
      </c>
      <c r="D30" s="16"/>
      <c r="E30">
        <f t="shared" si="0"/>
        <v>385.49785769216686</v>
      </c>
      <c r="F30">
        <f t="shared" si="1"/>
        <v>385.5</v>
      </c>
      <c r="G30">
        <f t="shared" si="2"/>
        <v>-0.005850000001373701</v>
      </c>
      <c r="K30">
        <f t="shared" si="5"/>
        <v>-0.005850000001373701</v>
      </c>
      <c r="O30">
        <f t="shared" si="3"/>
        <v>-0.0038438212232151697</v>
      </c>
      <c r="Q30" s="2">
        <f t="shared" si="4"/>
        <v>13997.028999999999</v>
      </c>
    </row>
    <row r="31" spans="1:17" ht="12.75">
      <c r="A31" s="32" t="s">
        <v>55</v>
      </c>
      <c r="B31" s="33" t="s">
        <v>113</v>
      </c>
      <c r="C31" s="34">
        <v>29082.469</v>
      </c>
      <c r="D31" s="16"/>
      <c r="E31">
        <f t="shared" si="0"/>
        <v>410.0117186069515</v>
      </c>
      <c r="F31">
        <f t="shared" si="1"/>
        <v>410</v>
      </c>
      <c r="G31">
        <f t="shared" si="2"/>
        <v>0.03200000000288128</v>
      </c>
      <c r="K31">
        <f t="shared" si="5"/>
        <v>0.03200000000288128</v>
      </c>
      <c r="O31">
        <f t="shared" si="3"/>
        <v>-0.0038238449695217613</v>
      </c>
      <c r="Q31" s="2">
        <f t="shared" si="4"/>
        <v>14063.969000000001</v>
      </c>
    </row>
    <row r="32" spans="1:17" ht="12.75">
      <c r="A32" s="32" t="s">
        <v>55</v>
      </c>
      <c r="B32" s="33" t="s">
        <v>113</v>
      </c>
      <c r="C32" s="34">
        <v>29407.416</v>
      </c>
      <c r="D32" s="16"/>
      <c r="E32">
        <f t="shared" si="0"/>
        <v>529.0094115062082</v>
      </c>
      <c r="F32">
        <f t="shared" si="1"/>
        <v>529</v>
      </c>
      <c r="G32">
        <f t="shared" si="2"/>
        <v>0.025700000001961598</v>
      </c>
      <c r="K32">
        <f t="shared" si="5"/>
        <v>0.025700000001961598</v>
      </c>
      <c r="O32">
        <f t="shared" si="3"/>
        <v>-0.0037268174515823487</v>
      </c>
      <c r="Q32" s="2">
        <f t="shared" si="4"/>
        <v>14388.916000000001</v>
      </c>
    </row>
    <row r="33" spans="1:17" ht="12.75">
      <c r="A33" s="32" t="s">
        <v>55</v>
      </c>
      <c r="B33" s="33" t="s">
        <v>113</v>
      </c>
      <c r="C33" s="34">
        <v>29437.418</v>
      </c>
      <c r="D33" s="16"/>
      <c r="E33">
        <f t="shared" si="0"/>
        <v>539.9963379353289</v>
      </c>
      <c r="F33">
        <f t="shared" si="1"/>
        <v>540</v>
      </c>
      <c r="G33">
        <f t="shared" si="2"/>
        <v>-0.00999999999839929</v>
      </c>
      <c r="K33">
        <f t="shared" si="5"/>
        <v>-0.00999999999839929</v>
      </c>
      <c r="O33">
        <f t="shared" si="3"/>
        <v>-0.003717848521352655</v>
      </c>
      <c r="Q33" s="2">
        <f t="shared" si="4"/>
        <v>14418.918000000001</v>
      </c>
    </row>
    <row r="34" spans="1:17" ht="12.75">
      <c r="A34" s="32" t="s">
        <v>55</v>
      </c>
      <c r="B34" s="33" t="s">
        <v>34</v>
      </c>
      <c r="C34" s="34">
        <v>29463.388</v>
      </c>
      <c r="D34" s="16"/>
      <c r="E34">
        <f t="shared" si="0"/>
        <v>549.5067198886734</v>
      </c>
      <c r="F34">
        <f t="shared" si="1"/>
        <v>549.5</v>
      </c>
      <c r="G34">
        <f t="shared" si="2"/>
        <v>0.018349999998463318</v>
      </c>
      <c r="K34">
        <f t="shared" si="5"/>
        <v>0.018349999998463318</v>
      </c>
      <c r="O34">
        <f t="shared" si="3"/>
        <v>-0.003710102627063374</v>
      </c>
      <c r="Q34" s="2">
        <f t="shared" si="4"/>
        <v>14444.887999999999</v>
      </c>
    </row>
    <row r="35" spans="1:17" ht="12.75">
      <c r="A35" s="32" t="s">
        <v>55</v>
      </c>
      <c r="B35" s="33" t="s">
        <v>113</v>
      </c>
      <c r="C35" s="34">
        <v>29467.448</v>
      </c>
      <c r="D35" s="16"/>
      <c r="E35">
        <f t="shared" si="0"/>
        <v>550.9935181455311</v>
      </c>
      <c r="F35">
        <f t="shared" si="1"/>
        <v>551</v>
      </c>
      <c r="G35">
        <f t="shared" si="2"/>
        <v>-0.017699999996693805</v>
      </c>
      <c r="K35">
        <f t="shared" si="5"/>
        <v>-0.017699999996693805</v>
      </c>
      <c r="O35">
        <f t="shared" si="3"/>
        <v>-0.0037088795911229613</v>
      </c>
      <c r="Q35" s="2">
        <f t="shared" si="4"/>
        <v>14448.948</v>
      </c>
    </row>
    <row r="36" spans="1:17" ht="12.75">
      <c r="A36" s="32" t="s">
        <v>55</v>
      </c>
      <c r="B36" s="33" t="s">
        <v>113</v>
      </c>
      <c r="C36" s="34">
        <v>29467.471</v>
      </c>
      <c r="D36" s="16"/>
      <c r="E36">
        <f t="shared" si="0"/>
        <v>551.0019408942773</v>
      </c>
      <c r="F36">
        <f t="shared" si="1"/>
        <v>551</v>
      </c>
      <c r="G36">
        <f t="shared" si="2"/>
        <v>0.005300000004353933</v>
      </c>
      <c r="K36">
        <f t="shared" si="5"/>
        <v>0.005300000004353933</v>
      </c>
      <c r="O36">
        <f t="shared" si="3"/>
        <v>-0.0037088795911229613</v>
      </c>
      <c r="Q36" s="2">
        <f t="shared" si="4"/>
        <v>14448.971000000001</v>
      </c>
    </row>
    <row r="37" spans="1:17" ht="12.75">
      <c r="A37" s="32" t="s">
        <v>55</v>
      </c>
      <c r="B37" s="33" t="s">
        <v>113</v>
      </c>
      <c r="C37" s="34">
        <v>29467.493</v>
      </c>
      <c r="D37" s="16"/>
      <c r="E37">
        <f t="shared" si="0"/>
        <v>551.0099974365547</v>
      </c>
      <c r="F37">
        <f t="shared" si="1"/>
        <v>551</v>
      </c>
      <c r="G37">
        <f t="shared" si="2"/>
        <v>0.027300000001559965</v>
      </c>
      <c r="K37">
        <f t="shared" si="5"/>
        <v>0.027300000001559965</v>
      </c>
      <c r="O37">
        <f t="shared" si="3"/>
        <v>-0.0037088795911229613</v>
      </c>
      <c r="Q37" s="2">
        <f t="shared" si="4"/>
        <v>14448.992999999999</v>
      </c>
    </row>
    <row r="38" spans="1:17" ht="12.75">
      <c r="A38" s="32" t="s">
        <v>55</v>
      </c>
      <c r="B38" s="33" t="s">
        <v>113</v>
      </c>
      <c r="C38" s="34">
        <v>29519.295</v>
      </c>
      <c r="D38" s="16"/>
      <c r="E38">
        <f t="shared" si="0"/>
        <v>569.9802248507707</v>
      </c>
      <c r="F38">
        <f t="shared" si="1"/>
        <v>570</v>
      </c>
      <c r="G38">
        <f t="shared" si="2"/>
        <v>-0.05400000000008731</v>
      </c>
      <c r="K38">
        <f t="shared" si="5"/>
        <v>-0.05400000000008731</v>
      </c>
      <c r="O38">
        <f t="shared" si="3"/>
        <v>-0.0036933878025443997</v>
      </c>
      <c r="Q38" s="2">
        <f t="shared" si="4"/>
        <v>14500.794999999998</v>
      </c>
    </row>
    <row r="39" spans="1:17" ht="12.75">
      <c r="A39" s="32" t="s">
        <v>55</v>
      </c>
      <c r="B39" s="33" t="s">
        <v>113</v>
      </c>
      <c r="C39" s="34">
        <v>29519.318</v>
      </c>
      <c r="D39" s="16"/>
      <c r="E39">
        <f t="shared" si="0"/>
        <v>569.9886475995169</v>
      </c>
      <c r="F39">
        <f t="shared" si="1"/>
        <v>570</v>
      </c>
      <c r="G39">
        <f t="shared" si="2"/>
        <v>-0.030999999999039574</v>
      </c>
      <c r="K39">
        <f t="shared" si="5"/>
        <v>-0.030999999999039574</v>
      </c>
      <c r="O39">
        <f t="shared" si="3"/>
        <v>-0.0036933878025443997</v>
      </c>
      <c r="Q39" s="2">
        <f t="shared" si="4"/>
        <v>14500.818</v>
      </c>
    </row>
    <row r="40" spans="1:31" ht="12.75">
      <c r="A40" t="s">
        <v>32</v>
      </c>
      <c r="B40" s="12" t="s">
        <v>34</v>
      </c>
      <c r="C40" s="17">
        <v>50290.422</v>
      </c>
      <c r="D40" s="16">
        <v>0.005</v>
      </c>
      <c r="E40">
        <f t="shared" si="0"/>
        <v>8176.501263412311</v>
      </c>
      <c r="F40">
        <f t="shared" si="1"/>
        <v>8176.5</v>
      </c>
      <c r="G40">
        <f t="shared" si="2"/>
        <v>0.003449999996519182</v>
      </c>
      <c r="I40">
        <f>+G40</f>
        <v>0.003449999996519182</v>
      </c>
      <c r="O40">
        <f t="shared" si="3"/>
        <v>0.002508627451288734</v>
      </c>
      <c r="Q40" s="2">
        <f t="shared" si="4"/>
        <v>35271.922</v>
      </c>
      <c r="AA40">
        <v>16</v>
      </c>
      <c r="AC40" t="s">
        <v>31</v>
      </c>
      <c r="AE40" t="s">
        <v>33</v>
      </c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  <row r="2561" spans="3:4" ht="12.75">
      <c r="C2561" s="16"/>
      <c r="D2561" s="16"/>
    </row>
    <row r="2562" spans="3:4" ht="12.75">
      <c r="C2562" s="16"/>
      <c r="D2562" s="16"/>
    </row>
    <row r="2563" spans="3:4" ht="12.75">
      <c r="C2563" s="16"/>
      <c r="D2563" s="16"/>
    </row>
    <row r="2564" spans="3:4" ht="12.75">
      <c r="C2564" s="16"/>
      <c r="D2564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6"/>
  <sheetViews>
    <sheetView zoomScalePageLayoutView="0" workbookViewId="0" topLeftCell="A6">
      <selection activeCell="A12" sqref="A12:C29"/>
    </sheetView>
  </sheetViews>
  <sheetFormatPr defaultColWidth="9.140625" defaultRowHeight="12.75"/>
  <cols>
    <col min="1" max="1" width="19.7109375" style="16" customWidth="1"/>
    <col min="2" max="2" width="4.421875" style="20" customWidth="1"/>
    <col min="3" max="3" width="12.7109375" style="16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6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19" t="s">
        <v>39</v>
      </c>
      <c r="I1" s="21" t="s">
        <v>40</v>
      </c>
      <c r="J1" s="22" t="s">
        <v>41</v>
      </c>
    </row>
    <row r="2" spans="9:10" ht="12.75">
      <c r="I2" s="23" t="s">
        <v>42</v>
      </c>
      <c r="J2" s="24" t="s">
        <v>43</v>
      </c>
    </row>
    <row r="3" spans="1:10" ht="12.75">
      <c r="A3" s="25" t="s">
        <v>44</v>
      </c>
      <c r="I3" s="23" t="s">
        <v>45</v>
      </c>
      <c r="J3" s="24" t="s">
        <v>46</v>
      </c>
    </row>
    <row r="4" spans="9:10" ht="12.75">
      <c r="I4" s="23" t="s">
        <v>47</v>
      </c>
      <c r="J4" s="24" t="s">
        <v>46</v>
      </c>
    </row>
    <row r="5" spans="9:10" ht="13.5" thickBot="1">
      <c r="I5" s="26" t="s">
        <v>48</v>
      </c>
      <c r="J5" s="27" t="s">
        <v>49</v>
      </c>
    </row>
    <row r="10" ht="13.5" thickBot="1"/>
    <row r="11" spans="1:16" ht="12.75" customHeight="1" thickBot="1">
      <c r="A11" s="16" t="str">
        <f aca="true" t="shared" si="0" ref="A11:A29">P11</f>
        <v> BBS 115 </v>
      </c>
      <c r="B11" s="6" t="str">
        <f aca="true" t="shared" si="1" ref="B11:B29">IF(H11=INT(H11),"I","II")</f>
        <v>II</v>
      </c>
      <c r="C11" s="16">
        <f aca="true" t="shared" si="2" ref="C11:C29">1*G11</f>
        <v>50290.422</v>
      </c>
      <c r="D11" s="20" t="str">
        <f aca="true" t="shared" si="3" ref="D11:D29">VLOOKUP(F11,I$1:J$5,2,FALSE)</f>
        <v>vis</v>
      </c>
      <c r="E11" s="28">
        <f>VLOOKUP(C11,A!C$21:E$973,3,FALSE)</f>
        <v>8176.501263412311</v>
      </c>
      <c r="F11" s="6" t="s">
        <v>48</v>
      </c>
      <c r="G11" s="20" t="str">
        <f aca="true" t="shared" si="4" ref="G11:G29">MID(I11,3,LEN(I11)-3)</f>
        <v>50290.422</v>
      </c>
      <c r="H11" s="16">
        <f aca="true" t="shared" si="5" ref="H11:H29">1*K11</f>
        <v>8176.5</v>
      </c>
      <c r="I11" s="29" t="s">
        <v>107</v>
      </c>
      <c r="J11" s="30" t="s">
        <v>108</v>
      </c>
      <c r="K11" s="29">
        <v>8176.5</v>
      </c>
      <c r="L11" s="29" t="s">
        <v>109</v>
      </c>
      <c r="M11" s="30" t="s">
        <v>110</v>
      </c>
      <c r="N11" s="30"/>
      <c r="O11" s="31" t="s">
        <v>111</v>
      </c>
      <c r="P11" s="31" t="s">
        <v>112</v>
      </c>
    </row>
    <row r="12" spans="1:16" ht="12.75" customHeight="1" thickBot="1">
      <c r="A12" s="16" t="str">
        <f t="shared" si="0"/>
        <v> AOLD 21.437 </v>
      </c>
      <c r="B12" s="6" t="str">
        <f t="shared" si="1"/>
        <v>I</v>
      </c>
      <c r="C12" s="16">
        <f t="shared" si="2"/>
        <v>27962.816</v>
      </c>
      <c r="D12" s="20" t="str">
        <f t="shared" si="3"/>
        <v>vis</v>
      </c>
      <c r="E12" s="28">
        <f>VLOOKUP(C12,A!C$21:E$973,3,FALSE)</f>
        <v>-0.012451019884883273</v>
      </c>
      <c r="F12" s="6" t="s">
        <v>48</v>
      </c>
      <c r="G12" s="20" t="str">
        <f t="shared" si="4"/>
        <v>27962.816</v>
      </c>
      <c r="H12" s="16">
        <f t="shared" si="5"/>
        <v>0</v>
      </c>
      <c r="I12" s="29" t="s">
        <v>50</v>
      </c>
      <c r="J12" s="30" t="s">
        <v>51</v>
      </c>
      <c r="K12" s="29">
        <v>0</v>
      </c>
      <c r="L12" s="29" t="s">
        <v>52</v>
      </c>
      <c r="M12" s="30" t="s">
        <v>53</v>
      </c>
      <c r="N12" s="30"/>
      <c r="O12" s="31" t="s">
        <v>54</v>
      </c>
      <c r="P12" s="31" t="s">
        <v>55</v>
      </c>
    </row>
    <row r="13" spans="1:16" ht="12.75" customHeight="1" thickBot="1">
      <c r="A13" s="16" t="str">
        <f t="shared" si="0"/>
        <v> AOLD 21.437 </v>
      </c>
      <c r="B13" s="6" t="str">
        <f t="shared" si="1"/>
        <v>I</v>
      </c>
      <c r="C13" s="16">
        <f t="shared" si="2"/>
        <v>27984.697</v>
      </c>
      <c r="D13" s="20" t="str">
        <f t="shared" si="3"/>
        <v>vis</v>
      </c>
      <c r="E13" s="28">
        <f>VLOOKUP(C13,A!C$21:E$973,3,FALSE)</f>
        <v>8.000512689054665</v>
      </c>
      <c r="F13" s="6" t="s">
        <v>48</v>
      </c>
      <c r="G13" s="20" t="str">
        <f t="shared" si="4"/>
        <v>27984.697</v>
      </c>
      <c r="H13" s="16">
        <f t="shared" si="5"/>
        <v>8</v>
      </c>
      <c r="I13" s="29" t="s">
        <v>56</v>
      </c>
      <c r="J13" s="30" t="s">
        <v>57</v>
      </c>
      <c r="K13" s="29">
        <v>8</v>
      </c>
      <c r="L13" s="29" t="s">
        <v>58</v>
      </c>
      <c r="M13" s="30" t="s">
        <v>53</v>
      </c>
      <c r="N13" s="30"/>
      <c r="O13" s="31" t="s">
        <v>54</v>
      </c>
      <c r="P13" s="31" t="s">
        <v>55</v>
      </c>
    </row>
    <row r="14" spans="1:16" ht="12.75" customHeight="1" thickBot="1">
      <c r="A14" s="16" t="str">
        <f t="shared" si="0"/>
        <v> AOLD 21.437 </v>
      </c>
      <c r="B14" s="6" t="str">
        <f t="shared" si="1"/>
        <v>II</v>
      </c>
      <c r="C14" s="16">
        <f t="shared" si="2"/>
        <v>28081.677</v>
      </c>
      <c r="D14" s="20" t="str">
        <f t="shared" si="3"/>
        <v>vis</v>
      </c>
      <c r="E14" s="28">
        <f>VLOOKUP(C14,A!C$21:E$973,3,FALSE)</f>
        <v>43.51521587871283</v>
      </c>
      <c r="F14" s="6" t="s">
        <v>48</v>
      </c>
      <c r="G14" s="20" t="str">
        <f t="shared" si="4"/>
        <v>28081.677</v>
      </c>
      <c r="H14" s="16">
        <f t="shared" si="5"/>
        <v>43.5</v>
      </c>
      <c r="I14" s="29" t="s">
        <v>59</v>
      </c>
      <c r="J14" s="30" t="s">
        <v>60</v>
      </c>
      <c r="K14" s="29">
        <v>43.5</v>
      </c>
      <c r="L14" s="29" t="s">
        <v>61</v>
      </c>
      <c r="M14" s="30" t="s">
        <v>53</v>
      </c>
      <c r="N14" s="30"/>
      <c r="O14" s="31" t="s">
        <v>54</v>
      </c>
      <c r="P14" s="31" t="s">
        <v>55</v>
      </c>
    </row>
    <row r="15" spans="1:16" ht="12.75" customHeight="1" thickBot="1">
      <c r="A15" s="16" t="str">
        <f t="shared" si="0"/>
        <v> AOLD 21.437 </v>
      </c>
      <c r="B15" s="6" t="str">
        <f t="shared" si="1"/>
        <v>I</v>
      </c>
      <c r="C15" s="16">
        <f t="shared" si="2"/>
        <v>28727.465</v>
      </c>
      <c r="D15" s="20" t="str">
        <f t="shared" si="3"/>
        <v>vis</v>
      </c>
      <c r="E15" s="28">
        <f>VLOOKUP(C15,A!C$21:E$973,3,FALSE)</f>
        <v>280.0069579228775</v>
      </c>
      <c r="F15" s="6" t="s">
        <v>48</v>
      </c>
      <c r="G15" s="20" t="str">
        <f t="shared" si="4"/>
        <v>28727.465</v>
      </c>
      <c r="H15" s="16">
        <f t="shared" si="5"/>
        <v>280</v>
      </c>
      <c r="I15" s="29" t="s">
        <v>62</v>
      </c>
      <c r="J15" s="30" t="s">
        <v>63</v>
      </c>
      <c r="K15" s="29">
        <v>280</v>
      </c>
      <c r="L15" s="29" t="s">
        <v>64</v>
      </c>
      <c r="M15" s="30" t="s">
        <v>53</v>
      </c>
      <c r="N15" s="30"/>
      <c r="O15" s="31" t="s">
        <v>54</v>
      </c>
      <c r="P15" s="31" t="s">
        <v>55</v>
      </c>
    </row>
    <row r="16" spans="1:16" ht="12.75" customHeight="1" thickBot="1">
      <c r="A16" s="16" t="str">
        <f t="shared" si="0"/>
        <v> AOLD 21.437 </v>
      </c>
      <c r="B16" s="6" t="str">
        <f t="shared" si="1"/>
        <v>II</v>
      </c>
      <c r="C16" s="16">
        <f t="shared" si="2"/>
        <v>28753.342</v>
      </c>
      <c r="D16" s="20" t="str">
        <f t="shared" si="3"/>
        <v>vis</v>
      </c>
      <c r="E16" s="28">
        <f>VLOOKUP(C16,A!C$21:E$973,3,FALSE)</f>
        <v>289.48328267477274</v>
      </c>
      <c r="F16" s="6" t="s">
        <v>48</v>
      </c>
      <c r="G16" s="20" t="str">
        <f t="shared" si="4"/>
        <v>28753.342</v>
      </c>
      <c r="H16" s="16">
        <f t="shared" si="5"/>
        <v>289.5</v>
      </c>
      <c r="I16" s="29" t="s">
        <v>65</v>
      </c>
      <c r="J16" s="30" t="s">
        <v>66</v>
      </c>
      <c r="K16" s="29">
        <v>289.5</v>
      </c>
      <c r="L16" s="29" t="s">
        <v>67</v>
      </c>
      <c r="M16" s="30" t="s">
        <v>53</v>
      </c>
      <c r="N16" s="30"/>
      <c r="O16" s="31" t="s">
        <v>54</v>
      </c>
      <c r="P16" s="31" t="s">
        <v>55</v>
      </c>
    </row>
    <row r="17" spans="1:16" ht="12.75" customHeight="1" thickBot="1">
      <c r="A17" s="16" t="str">
        <f t="shared" si="0"/>
        <v> AOLD 21.437 </v>
      </c>
      <c r="B17" s="6" t="str">
        <f t="shared" si="1"/>
        <v>II</v>
      </c>
      <c r="C17" s="16">
        <f t="shared" si="2"/>
        <v>28753.363</v>
      </c>
      <c r="D17" s="20" t="str">
        <f t="shared" si="3"/>
        <v>vis</v>
      </c>
      <c r="E17" s="28">
        <f>VLOOKUP(C17,A!C$21:E$973,3,FALSE)</f>
        <v>289.4909730105843</v>
      </c>
      <c r="F17" s="6" t="s">
        <v>48</v>
      </c>
      <c r="G17" s="20" t="str">
        <f t="shared" si="4"/>
        <v>28753.363</v>
      </c>
      <c r="H17" s="16">
        <f t="shared" si="5"/>
        <v>289.5</v>
      </c>
      <c r="I17" s="29" t="s">
        <v>68</v>
      </c>
      <c r="J17" s="30" t="s">
        <v>69</v>
      </c>
      <c r="K17" s="29">
        <v>289.5</v>
      </c>
      <c r="L17" s="29" t="s">
        <v>70</v>
      </c>
      <c r="M17" s="30" t="s">
        <v>53</v>
      </c>
      <c r="N17" s="30"/>
      <c r="O17" s="31" t="s">
        <v>54</v>
      </c>
      <c r="P17" s="31" t="s">
        <v>55</v>
      </c>
    </row>
    <row r="18" spans="1:16" ht="12.75" customHeight="1" thickBot="1">
      <c r="A18" s="16" t="str">
        <f t="shared" si="0"/>
        <v> AOLD 21.437 </v>
      </c>
      <c r="B18" s="6" t="str">
        <f t="shared" si="1"/>
        <v>I</v>
      </c>
      <c r="C18" s="16">
        <f t="shared" si="2"/>
        <v>28779.335</v>
      </c>
      <c r="D18" s="20" t="str">
        <f t="shared" si="3"/>
        <v>vis</v>
      </c>
      <c r="E18" s="28">
        <f>VLOOKUP(C18,A!C$21:E$973,3,FALSE)</f>
        <v>299.0020873768633</v>
      </c>
      <c r="F18" s="6" t="s">
        <v>48</v>
      </c>
      <c r="G18" s="20" t="str">
        <f t="shared" si="4"/>
        <v>28779.335</v>
      </c>
      <c r="H18" s="16">
        <f t="shared" si="5"/>
        <v>299</v>
      </c>
      <c r="I18" s="29" t="s">
        <v>71</v>
      </c>
      <c r="J18" s="30" t="s">
        <v>72</v>
      </c>
      <c r="K18" s="29">
        <v>299</v>
      </c>
      <c r="L18" s="29" t="s">
        <v>73</v>
      </c>
      <c r="M18" s="30" t="s">
        <v>53</v>
      </c>
      <c r="N18" s="30"/>
      <c r="O18" s="31" t="s">
        <v>54</v>
      </c>
      <c r="P18" s="31" t="s">
        <v>55</v>
      </c>
    </row>
    <row r="19" spans="1:16" ht="12.75" customHeight="1" thickBot="1">
      <c r="A19" s="16" t="str">
        <f t="shared" si="0"/>
        <v> AOLD 21.437 </v>
      </c>
      <c r="B19" s="6" t="str">
        <f t="shared" si="1"/>
        <v>II</v>
      </c>
      <c r="C19" s="16">
        <f t="shared" si="2"/>
        <v>29015.507</v>
      </c>
      <c r="D19" s="20" t="str">
        <f t="shared" si="3"/>
        <v>vis</v>
      </c>
      <c r="E19" s="28">
        <f>VLOOKUP(C19,A!C$21:E$973,3,FALSE)</f>
        <v>385.48980114988933</v>
      </c>
      <c r="F19" s="6" t="s">
        <v>48</v>
      </c>
      <c r="G19" s="20" t="str">
        <f t="shared" si="4"/>
        <v>29015.507</v>
      </c>
      <c r="H19" s="16">
        <f t="shared" si="5"/>
        <v>385.5</v>
      </c>
      <c r="I19" s="29" t="s">
        <v>74</v>
      </c>
      <c r="J19" s="30" t="s">
        <v>75</v>
      </c>
      <c r="K19" s="29">
        <v>385.5</v>
      </c>
      <c r="L19" s="29" t="s">
        <v>76</v>
      </c>
      <c r="M19" s="30" t="s">
        <v>53</v>
      </c>
      <c r="N19" s="30"/>
      <c r="O19" s="31" t="s">
        <v>54</v>
      </c>
      <c r="P19" s="31" t="s">
        <v>55</v>
      </c>
    </row>
    <row r="20" spans="1:16" ht="12.75" customHeight="1" thickBot="1">
      <c r="A20" s="16" t="str">
        <f t="shared" si="0"/>
        <v> AOLD 21.437 </v>
      </c>
      <c r="B20" s="6" t="str">
        <f t="shared" si="1"/>
        <v>II</v>
      </c>
      <c r="C20" s="16">
        <f t="shared" si="2"/>
        <v>29015.529</v>
      </c>
      <c r="D20" s="20" t="str">
        <f t="shared" si="3"/>
        <v>vis</v>
      </c>
      <c r="E20" s="28">
        <f>VLOOKUP(C20,A!C$21:E$973,3,FALSE)</f>
        <v>385.49785769216686</v>
      </c>
      <c r="F20" s="6" t="s">
        <v>48</v>
      </c>
      <c r="G20" s="20" t="str">
        <f t="shared" si="4"/>
        <v>29015.529</v>
      </c>
      <c r="H20" s="16">
        <f t="shared" si="5"/>
        <v>385.5</v>
      </c>
      <c r="I20" s="29" t="s">
        <v>77</v>
      </c>
      <c r="J20" s="30" t="s">
        <v>78</v>
      </c>
      <c r="K20" s="29">
        <v>385.5</v>
      </c>
      <c r="L20" s="29" t="s">
        <v>79</v>
      </c>
      <c r="M20" s="30" t="s">
        <v>53</v>
      </c>
      <c r="N20" s="30"/>
      <c r="O20" s="31" t="s">
        <v>54</v>
      </c>
      <c r="P20" s="31" t="s">
        <v>55</v>
      </c>
    </row>
    <row r="21" spans="1:16" ht="12.75" customHeight="1" thickBot="1">
      <c r="A21" s="16" t="str">
        <f t="shared" si="0"/>
        <v> AOLD 21.437 </v>
      </c>
      <c r="B21" s="6" t="str">
        <f t="shared" si="1"/>
        <v>I</v>
      </c>
      <c r="C21" s="16">
        <f t="shared" si="2"/>
        <v>29082.469</v>
      </c>
      <c r="D21" s="20" t="str">
        <f t="shared" si="3"/>
        <v>vis</v>
      </c>
      <c r="E21" s="28">
        <f>VLOOKUP(C21,A!C$21:E$973,3,FALSE)</f>
        <v>410.0117186069515</v>
      </c>
      <c r="F21" s="6" t="s">
        <v>48</v>
      </c>
      <c r="G21" s="20" t="str">
        <f t="shared" si="4"/>
        <v>29082.469</v>
      </c>
      <c r="H21" s="16">
        <f t="shared" si="5"/>
        <v>410</v>
      </c>
      <c r="I21" s="29" t="s">
        <v>80</v>
      </c>
      <c r="J21" s="30" t="s">
        <v>81</v>
      </c>
      <c r="K21" s="29">
        <v>410</v>
      </c>
      <c r="L21" s="29" t="s">
        <v>82</v>
      </c>
      <c r="M21" s="30" t="s">
        <v>53</v>
      </c>
      <c r="N21" s="30"/>
      <c r="O21" s="31" t="s">
        <v>54</v>
      </c>
      <c r="P21" s="31" t="s">
        <v>55</v>
      </c>
    </row>
    <row r="22" spans="1:16" ht="12.75" customHeight="1" thickBot="1">
      <c r="A22" s="16" t="str">
        <f t="shared" si="0"/>
        <v> AOLD 21.437 </v>
      </c>
      <c r="B22" s="6" t="str">
        <f t="shared" si="1"/>
        <v>I</v>
      </c>
      <c r="C22" s="16">
        <f t="shared" si="2"/>
        <v>29407.416</v>
      </c>
      <c r="D22" s="20" t="str">
        <f t="shared" si="3"/>
        <v>vis</v>
      </c>
      <c r="E22" s="28">
        <f>VLOOKUP(C22,A!C$21:E$973,3,FALSE)</f>
        <v>529.0094115062082</v>
      </c>
      <c r="F22" s="6" t="s">
        <v>48</v>
      </c>
      <c r="G22" s="20" t="str">
        <f t="shared" si="4"/>
        <v>29407.416</v>
      </c>
      <c r="H22" s="16">
        <f t="shared" si="5"/>
        <v>529</v>
      </c>
      <c r="I22" s="29" t="s">
        <v>83</v>
      </c>
      <c r="J22" s="30" t="s">
        <v>84</v>
      </c>
      <c r="K22" s="29">
        <v>529</v>
      </c>
      <c r="L22" s="29" t="s">
        <v>85</v>
      </c>
      <c r="M22" s="30" t="s">
        <v>53</v>
      </c>
      <c r="N22" s="30"/>
      <c r="O22" s="31" t="s">
        <v>54</v>
      </c>
      <c r="P22" s="31" t="s">
        <v>55</v>
      </c>
    </row>
    <row r="23" spans="1:16" ht="12.75" customHeight="1" thickBot="1">
      <c r="A23" s="16" t="str">
        <f t="shared" si="0"/>
        <v> AOLD 21.437 </v>
      </c>
      <c r="B23" s="6" t="str">
        <f t="shared" si="1"/>
        <v>I</v>
      </c>
      <c r="C23" s="16">
        <f t="shared" si="2"/>
        <v>29437.418</v>
      </c>
      <c r="D23" s="20" t="str">
        <f t="shared" si="3"/>
        <v>vis</v>
      </c>
      <c r="E23" s="28">
        <f>VLOOKUP(C23,A!C$21:E$973,3,FALSE)</f>
        <v>539.9963379353289</v>
      </c>
      <c r="F23" s="6" t="s">
        <v>48</v>
      </c>
      <c r="G23" s="20" t="str">
        <f t="shared" si="4"/>
        <v>29437.418</v>
      </c>
      <c r="H23" s="16">
        <f t="shared" si="5"/>
        <v>540</v>
      </c>
      <c r="I23" s="29" t="s">
        <v>86</v>
      </c>
      <c r="J23" s="30" t="s">
        <v>87</v>
      </c>
      <c r="K23" s="29">
        <v>540</v>
      </c>
      <c r="L23" s="29" t="s">
        <v>88</v>
      </c>
      <c r="M23" s="30" t="s">
        <v>53</v>
      </c>
      <c r="N23" s="30"/>
      <c r="O23" s="31" t="s">
        <v>54</v>
      </c>
      <c r="P23" s="31" t="s">
        <v>55</v>
      </c>
    </row>
    <row r="24" spans="1:16" ht="12.75" customHeight="1" thickBot="1">
      <c r="A24" s="16" t="str">
        <f t="shared" si="0"/>
        <v> AOLD 21.437 </v>
      </c>
      <c r="B24" s="6" t="str">
        <f t="shared" si="1"/>
        <v>II</v>
      </c>
      <c r="C24" s="16">
        <f t="shared" si="2"/>
        <v>29463.388</v>
      </c>
      <c r="D24" s="20" t="str">
        <f t="shared" si="3"/>
        <v>vis</v>
      </c>
      <c r="E24" s="28">
        <f>VLOOKUP(C24,A!C$21:E$973,3,FALSE)</f>
        <v>549.5067198886734</v>
      </c>
      <c r="F24" s="6" t="s">
        <v>48</v>
      </c>
      <c r="G24" s="20" t="str">
        <f t="shared" si="4"/>
        <v>29463.388</v>
      </c>
      <c r="H24" s="16">
        <f t="shared" si="5"/>
        <v>549.5</v>
      </c>
      <c r="I24" s="29" t="s">
        <v>89</v>
      </c>
      <c r="J24" s="30" t="s">
        <v>90</v>
      </c>
      <c r="K24" s="29">
        <v>549.5</v>
      </c>
      <c r="L24" s="29" t="s">
        <v>91</v>
      </c>
      <c r="M24" s="30" t="s">
        <v>53</v>
      </c>
      <c r="N24" s="30"/>
      <c r="O24" s="31" t="s">
        <v>54</v>
      </c>
      <c r="P24" s="31" t="s">
        <v>55</v>
      </c>
    </row>
    <row r="25" spans="1:16" ht="12.75" customHeight="1" thickBot="1">
      <c r="A25" s="16" t="str">
        <f t="shared" si="0"/>
        <v> AOLD 21.437 </v>
      </c>
      <c r="B25" s="6" t="str">
        <f t="shared" si="1"/>
        <v>I</v>
      </c>
      <c r="C25" s="16">
        <f t="shared" si="2"/>
        <v>29467.448</v>
      </c>
      <c r="D25" s="20" t="str">
        <f t="shared" si="3"/>
        <v>vis</v>
      </c>
      <c r="E25" s="28">
        <f>VLOOKUP(C25,A!C$21:E$973,3,FALSE)</f>
        <v>550.9935181455311</v>
      </c>
      <c r="F25" s="6" t="s">
        <v>48</v>
      </c>
      <c r="G25" s="20" t="str">
        <f t="shared" si="4"/>
        <v>29467.448</v>
      </c>
      <c r="H25" s="16">
        <f t="shared" si="5"/>
        <v>551</v>
      </c>
      <c r="I25" s="29" t="s">
        <v>92</v>
      </c>
      <c r="J25" s="30" t="s">
        <v>93</v>
      </c>
      <c r="K25" s="29">
        <v>551</v>
      </c>
      <c r="L25" s="29" t="s">
        <v>94</v>
      </c>
      <c r="M25" s="30" t="s">
        <v>53</v>
      </c>
      <c r="N25" s="30"/>
      <c r="O25" s="31" t="s">
        <v>54</v>
      </c>
      <c r="P25" s="31" t="s">
        <v>55</v>
      </c>
    </row>
    <row r="26" spans="1:16" ht="12.75" customHeight="1" thickBot="1">
      <c r="A26" s="16" t="str">
        <f t="shared" si="0"/>
        <v> AOLD 21.437 </v>
      </c>
      <c r="B26" s="6" t="str">
        <f t="shared" si="1"/>
        <v>I</v>
      </c>
      <c r="C26" s="16">
        <f t="shared" si="2"/>
        <v>29467.471</v>
      </c>
      <c r="D26" s="20" t="str">
        <f t="shared" si="3"/>
        <v>vis</v>
      </c>
      <c r="E26" s="28">
        <f>VLOOKUP(C26,A!C$21:E$973,3,FALSE)</f>
        <v>551.0019408942773</v>
      </c>
      <c r="F26" s="6" t="s">
        <v>48</v>
      </c>
      <c r="G26" s="20" t="str">
        <f t="shared" si="4"/>
        <v>29467.471</v>
      </c>
      <c r="H26" s="16">
        <f t="shared" si="5"/>
        <v>551</v>
      </c>
      <c r="I26" s="29" t="s">
        <v>95</v>
      </c>
      <c r="J26" s="30" t="s">
        <v>96</v>
      </c>
      <c r="K26" s="29">
        <v>551</v>
      </c>
      <c r="L26" s="29" t="s">
        <v>97</v>
      </c>
      <c r="M26" s="30" t="s">
        <v>53</v>
      </c>
      <c r="N26" s="30"/>
      <c r="O26" s="31" t="s">
        <v>54</v>
      </c>
      <c r="P26" s="31" t="s">
        <v>55</v>
      </c>
    </row>
    <row r="27" spans="1:16" ht="12.75" customHeight="1" thickBot="1">
      <c r="A27" s="16" t="str">
        <f t="shared" si="0"/>
        <v> AOLD 21.437 </v>
      </c>
      <c r="B27" s="6" t="str">
        <f t="shared" si="1"/>
        <v>I</v>
      </c>
      <c r="C27" s="16">
        <f t="shared" si="2"/>
        <v>29467.493</v>
      </c>
      <c r="D27" s="20" t="str">
        <f t="shared" si="3"/>
        <v>vis</v>
      </c>
      <c r="E27" s="28">
        <f>VLOOKUP(C27,A!C$21:E$973,3,FALSE)</f>
        <v>551.0099974365547</v>
      </c>
      <c r="F27" s="6" t="s">
        <v>48</v>
      </c>
      <c r="G27" s="20" t="str">
        <f t="shared" si="4"/>
        <v>29467.493</v>
      </c>
      <c r="H27" s="16">
        <f t="shared" si="5"/>
        <v>551</v>
      </c>
      <c r="I27" s="29" t="s">
        <v>98</v>
      </c>
      <c r="J27" s="30" t="s">
        <v>99</v>
      </c>
      <c r="K27" s="29">
        <v>551</v>
      </c>
      <c r="L27" s="29" t="s">
        <v>100</v>
      </c>
      <c r="M27" s="30" t="s">
        <v>53</v>
      </c>
      <c r="N27" s="30"/>
      <c r="O27" s="31" t="s">
        <v>54</v>
      </c>
      <c r="P27" s="31" t="s">
        <v>55</v>
      </c>
    </row>
    <row r="28" spans="1:16" ht="12.75" customHeight="1" thickBot="1">
      <c r="A28" s="16" t="str">
        <f t="shared" si="0"/>
        <v> AOLD 21.437 </v>
      </c>
      <c r="B28" s="6" t="str">
        <f t="shared" si="1"/>
        <v>I</v>
      </c>
      <c r="C28" s="16">
        <f t="shared" si="2"/>
        <v>29519.295</v>
      </c>
      <c r="D28" s="20" t="str">
        <f t="shared" si="3"/>
        <v>vis</v>
      </c>
      <c r="E28" s="28">
        <f>VLOOKUP(C28,A!C$21:E$973,3,FALSE)</f>
        <v>569.9802248507707</v>
      </c>
      <c r="F28" s="6" t="s">
        <v>48</v>
      </c>
      <c r="G28" s="20" t="str">
        <f t="shared" si="4"/>
        <v>29519.295</v>
      </c>
      <c r="H28" s="16">
        <f t="shared" si="5"/>
        <v>570</v>
      </c>
      <c r="I28" s="29" t="s">
        <v>101</v>
      </c>
      <c r="J28" s="30" t="s">
        <v>102</v>
      </c>
      <c r="K28" s="29">
        <v>570</v>
      </c>
      <c r="L28" s="29" t="s">
        <v>103</v>
      </c>
      <c r="M28" s="30" t="s">
        <v>53</v>
      </c>
      <c r="N28" s="30"/>
      <c r="O28" s="31" t="s">
        <v>54</v>
      </c>
      <c r="P28" s="31" t="s">
        <v>55</v>
      </c>
    </row>
    <row r="29" spans="1:16" ht="12.75" customHeight="1" thickBot="1">
      <c r="A29" s="16" t="str">
        <f t="shared" si="0"/>
        <v> AOLD 21.437 </v>
      </c>
      <c r="B29" s="6" t="str">
        <f t="shared" si="1"/>
        <v>I</v>
      </c>
      <c r="C29" s="16">
        <f t="shared" si="2"/>
        <v>29519.318</v>
      </c>
      <c r="D29" s="20" t="str">
        <f t="shared" si="3"/>
        <v>vis</v>
      </c>
      <c r="E29" s="28">
        <f>VLOOKUP(C29,A!C$21:E$973,3,FALSE)</f>
        <v>569.9886475995169</v>
      </c>
      <c r="F29" s="6" t="s">
        <v>48</v>
      </c>
      <c r="G29" s="20" t="str">
        <f t="shared" si="4"/>
        <v>29519.318</v>
      </c>
      <c r="H29" s="16">
        <f t="shared" si="5"/>
        <v>570</v>
      </c>
      <c r="I29" s="29" t="s">
        <v>104</v>
      </c>
      <c r="J29" s="30" t="s">
        <v>105</v>
      </c>
      <c r="K29" s="29">
        <v>570</v>
      </c>
      <c r="L29" s="29" t="s">
        <v>106</v>
      </c>
      <c r="M29" s="30" t="s">
        <v>53</v>
      </c>
      <c r="N29" s="30"/>
      <c r="O29" s="31" t="s">
        <v>54</v>
      </c>
      <c r="P29" s="31" t="s">
        <v>55</v>
      </c>
    </row>
    <row r="30" spans="2:6" ht="12.75">
      <c r="B30" s="6"/>
      <c r="E30" s="28"/>
      <c r="F30" s="6"/>
    </row>
    <row r="31" spans="2:6" ht="12.75">
      <c r="B31" s="6"/>
      <c r="E31" s="28"/>
      <c r="F31" s="6"/>
    </row>
    <row r="32" spans="2:6" ht="12.75">
      <c r="B32" s="6"/>
      <c r="E32" s="28"/>
      <c r="F32" s="6"/>
    </row>
    <row r="33" spans="2:6" ht="12.75">
      <c r="B33" s="6"/>
      <c r="E33" s="28"/>
      <c r="F33" s="6"/>
    </row>
    <row r="34" spans="2:6" ht="12.75">
      <c r="B34" s="6"/>
      <c r="E34" s="28"/>
      <c r="F34" s="6"/>
    </row>
    <row r="35" spans="2:6" ht="12.75">
      <c r="B35" s="6"/>
      <c r="E35" s="28"/>
      <c r="F35" s="6"/>
    </row>
    <row r="36" spans="2:6" ht="12.75">
      <c r="B36" s="6"/>
      <c r="E36" s="28"/>
      <c r="F36" s="6"/>
    </row>
    <row r="37" spans="2:6" ht="12.75">
      <c r="B37" s="6"/>
      <c r="E37" s="28"/>
      <c r="F37" s="6"/>
    </row>
    <row r="38" spans="2:6" ht="12.75">
      <c r="B38" s="6"/>
      <c r="E38" s="28"/>
      <c r="F38" s="6"/>
    </row>
    <row r="39" spans="2:6" ht="12.75">
      <c r="B39" s="6"/>
      <c r="E39" s="28"/>
      <c r="F39" s="6"/>
    </row>
    <row r="40" spans="2:6" ht="12.75">
      <c r="B40" s="6"/>
      <c r="E40" s="28"/>
      <c r="F40" s="6"/>
    </row>
    <row r="41" spans="2:6" ht="12.75">
      <c r="B41" s="6"/>
      <c r="E41" s="28"/>
      <c r="F41" s="6"/>
    </row>
    <row r="42" spans="2:6" ht="12.75">
      <c r="B42" s="6"/>
      <c r="E42" s="28"/>
      <c r="F42" s="6"/>
    </row>
    <row r="43" spans="2:6" ht="12.75">
      <c r="B43" s="6"/>
      <c r="E43" s="28"/>
      <c r="F43" s="6"/>
    </row>
    <row r="44" spans="2:6" ht="12.75">
      <c r="B44" s="6"/>
      <c r="E44" s="28"/>
      <c r="F44" s="6"/>
    </row>
    <row r="45" spans="2:6" ht="12.75">
      <c r="B45" s="6"/>
      <c r="E45" s="28"/>
      <c r="F45" s="6"/>
    </row>
    <row r="46" spans="2:6" ht="12.75">
      <c r="B46" s="6"/>
      <c r="E46" s="28"/>
      <c r="F46" s="6"/>
    </row>
    <row r="47" spans="2:6" ht="12.75">
      <c r="B47" s="6"/>
      <c r="E47" s="28"/>
      <c r="F47" s="6"/>
    </row>
    <row r="48" spans="2:6" ht="12.75">
      <c r="B48" s="6"/>
      <c r="E48" s="28"/>
      <c r="F48" s="6"/>
    </row>
    <row r="49" spans="2:6" ht="12.75">
      <c r="B49" s="6"/>
      <c r="E49" s="28"/>
      <c r="F49" s="6"/>
    </row>
    <row r="50" spans="2:6" ht="12.75">
      <c r="B50" s="6"/>
      <c r="E50" s="28"/>
      <c r="F50" s="6"/>
    </row>
    <row r="51" spans="2:6" ht="12.75">
      <c r="B51" s="6"/>
      <c r="E51" s="28"/>
      <c r="F51" s="6"/>
    </row>
    <row r="52" spans="2:6" ht="12.75">
      <c r="B52" s="6"/>
      <c r="E52" s="28"/>
      <c r="F52" s="6"/>
    </row>
    <row r="53" spans="2:6" ht="12.75">
      <c r="B53" s="6"/>
      <c r="E53" s="28"/>
      <c r="F53" s="6"/>
    </row>
    <row r="54" spans="2:6" ht="12.75">
      <c r="B54" s="6"/>
      <c r="E54" s="28"/>
      <c r="F54" s="6"/>
    </row>
    <row r="55" spans="2:6" ht="12.75">
      <c r="B55" s="6"/>
      <c r="E55" s="28"/>
      <c r="F55" s="6"/>
    </row>
    <row r="56" spans="2:6" ht="12.75">
      <c r="B56" s="6"/>
      <c r="E56" s="28"/>
      <c r="F56" s="6"/>
    </row>
    <row r="57" spans="2:6" ht="12.75">
      <c r="B57" s="6"/>
      <c r="E57" s="28"/>
      <c r="F57" s="6"/>
    </row>
    <row r="58" spans="2:6" ht="12.75">
      <c r="B58" s="6"/>
      <c r="E58" s="28"/>
      <c r="F58" s="6"/>
    </row>
    <row r="59" spans="2:6" ht="12.75">
      <c r="B59" s="6"/>
      <c r="E59" s="28"/>
      <c r="F59" s="6"/>
    </row>
    <row r="60" spans="2:6" ht="12.75">
      <c r="B60" s="6"/>
      <c r="E60" s="28"/>
      <c r="F60" s="6"/>
    </row>
    <row r="61" spans="2:6" ht="12.75">
      <c r="B61" s="6"/>
      <c r="E61" s="28"/>
      <c r="F61" s="6"/>
    </row>
    <row r="62" spans="2:6" ht="12.75">
      <c r="B62" s="6"/>
      <c r="E62" s="28"/>
      <c r="F62" s="6"/>
    </row>
    <row r="63" spans="2:6" ht="12.75">
      <c r="B63" s="6"/>
      <c r="E63" s="28"/>
      <c r="F63" s="6"/>
    </row>
    <row r="64" spans="2:6" ht="12.75">
      <c r="B64" s="6"/>
      <c r="E64" s="28"/>
      <c r="F64" s="6"/>
    </row>
    <row r="65" spans="2:6" ht="12.75">
      <c r="B65" s="6"/>
      <c r="E65" s="28"/>
      <c r="F65" s="6"/>
    </row>
    <row r="66" spans="2:6" ht="12.75">
      <c r="B66" s="6"/>
      <c r="E66" s="28"/>
      <c r="F66" s="6"/>
    </row>
    <row r="67" spans="2:6" ht="12.75">
      <c r="B67" s="6"/>
      <c r="E67" s="28"/>
      <c r="F67" s="6"/>
    </row>
    <row r="68" spans="2:6" ht="12.75">
      <c r="B68" s="6"/>
      <c r="E68" s="28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2022-11-23T05:55:07Z</dcterms:modified>
  <cp:category/>
  <cp:version/>
  <cp:contentType/>
  <cp:contentStatus/>
</cp:coreProperties>
</file>