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10665" windowHeight="138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<sst xmlns="http://schemas.openxmlformats.org/spreadsheetml/2006/main" count="197" uniqueCount="99">
  <si>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</si>
  <si>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</si>
  <si>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</si>
  <si>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</si>
  <si>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</si>
  <si>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</si>
  <si>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</si>
  <si>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</si>
  <si>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</si>
  <si>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</si>
  <si>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</si>
  <si>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</si>
  <si>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</si>
  <si>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</si>
  <si>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</si>
  <si>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</si>
  <si>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</si>
  <si>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</si>
  <si>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</si>
  <si>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</si>
  <si>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</si>
  <si>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</si>
  <si>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</si>
  <si>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</si>
  <si>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</si>
  <si>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</si>
  <si>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</si>
  <si>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</si>
  <si>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</si>
  <si>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</si>
  <si>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</si>
  <si>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</si>
  <si>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</si>
  <si>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</si>
  <si>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</si>
  <si>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</si>
  <si>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</si>
  <si>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</si>
  <si>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</si>
  <si>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</si>
  <si>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</si>
  <si>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</si>
  <si>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</si>
  <si>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</si>
  <si>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</si>
  <si>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</si>
  <si>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</si>
  <si>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</si>
  <si>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HL Sct</t>
  </si>
  <si>
    <t>EW</t>
  </si>
  <si>
    <t>GCVS 4</t>
  </si>
  <si>
    <t>2427983.901 </t>
  </si>
  <si>
    <t> 30.06.1935 09:37 </t>
  </si>
  <si>
    <t> -0.014 </t>
  </si>
  <si>
    <t>P </t>
  </si>
  <si>
    <t> M.Harwood </t>
  </si>
  <si>
    <t> AOLD 21.437 </t>
  </si>
  <si>
    <t>2427984.448 </t>
  </si>
  <si>
    <t> 30.06.1935 22:45 </t>
  </si>
  <si>
    <t> 0.012 </t>
  </si>
  <si>
    <t>2427984.951 </t>
  </si>
  <si>
    <t> 01.07.1935 10:49 </t>
  </si>
  <si>
    <t> -0.006 </t>
  </si>
  <si>
    <t>2427985.474 </t>
  </si>
  <si>
    <t> 01.07.1935 23:22 </t>
  </si>
  <si>
    <t> -0.005 </t>
  </si>
  <si>
    <t>2427988.592 </t>
  </si>
  <si>
    <t> 05.07.1935 02:12 </t>
  </si>
  <si>
    <t>2427988.615 </t>
  </si>
  <si>
    <t> 05.07.1935 02:45 </t>
  </si>
  <si>
    <t> 0.009 </t>
  </si>
  <si>
    <t>2428745.453 </t>
  </si>
  <si>
    <t> 30.07.1937 22:52 </t>
  </si>
  <si>
    <t> -0.008 </t>
  </si>
  <si>
    <t>2428779.335 </t>
  </si>
  <si>
    <t> 02.09.1937 20:02 </t>
  </si>
  <si>
    <t> -0.007 </t>
  </si>
  <si>
    <t>2428780.365 </t>
  </si>
  <si>
    <t> 03.09.1937 20:45 </t>
  </si>
  <si>
    <t> -0.020 </t>
  </si>
  <si>
    <t>2429017.558 </t>
  </si>
  <si>
    <t> 29.04.1938 01:23 </t>
  </si>
  <si>
    <t> 0.005 </t>
  </si>
  <si>
    <t>2429017.580 </t>
  </si>
  <si>
    <t> 29.04.1938 01:55 </t>
  </si>
  <si>
    <t> 0.026 </t>
  </si>
  <si>
    <t>2429136.384 </t>
  </si>
  <si>
    <t> 25.08.1938 21:12 </t>
  </si>
  <si>
    <t> -0.015 </t>
  </si>
  <si>
    <t>2429397.540 </t>
  </si>
  <si>
    <t> 14.05.1939 00:57 </t>
  </si>
  <si>
    <t>2429407.450 </t>
  </si>
  <si>
    <t> 23.05.1939 22:48 </t>
  </si>
  <si>
    <t> 0.002 </t>
  </si>
  <si>
    <t>2429490.352 </t>
  </si>
  <si>
    <t> 14.08.1939 20:26 </t>
  </si>
  <si>
    <t> 0.025 </t>
  </si>
  <si>
    <t>I</t>
  </si>
  <si>
    <t>HL Sct / GSC 28745.461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</si>
</sst>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4" fillId="35" borderId="11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HL Sct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887533"/>
        <c:axId val="43987798"/>
      </c:scatterChart>
      <c:valAx>
        <c:axId val="48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 val="autoZero"/>
        <c:crossBetween val="midCat"/>
        <c:dispUnits/>
      </c:valAx>
      <c:valAx>
        <c:axId val="4398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0</xdr:row>
      <xdr:rowOff>0</xdr:rowOff>
    </xdr:from>
    <xdr:to>
      <xdr:col>17</xdr:col>
      <xdr:colOff>314325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7434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98</v>
      </c>
      <c r="F1" s="48" t="s">
        <v>48</v>
      </c>
      <c r="G1" s="49">
        <v>18.5013</v>
      </c>
      <c r="H1" s="50">
        <v>-10.2438</v>
      </c>
      <c r="I1" s="32">
        <v>28745.461</v>
      </c>
      <c r="J1" s="32">
        <v>0.52125</v>
      </c>
      <c r="K1" s="51" t="s">
        <v>49</v>
      </c>
      <c r="L1" s="31"/>
      <c r="M1" s="32">
        <v>29490.331347862302</v>
      </c>
      <c r="N1" s="32">
        <v>0.5212531117682409</v>
      </c>
      <c r="O1" s="35" t="s">
        <v>49</v>
      </c>
    </row>
    <row r="2" spans="1:4" ht="12.75">
      <c r="A2" t="s">
        <v>23</v>
      </c>
      <c r="B2" t="s">
        <v>49</v>
      </c>
      <c r="C2" s="30"/>
      <c r="D2" s="3"/>
    </row>
    <row r="3" ht="13.5" thickBot="1"/>
    <row r="4" spans="1:4" ht="14.25" thickBot="1" thickTop="1">
      <c r="A4" s="5" t="s">
        <v>0</v>
      </c>
      <c r="C4" s="27">
        <v>28745.461</v>
      </c>
      <c r="D4" s="28">
        <v>0.52125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29490.331347862302</v>
      </c>
      <c r="D7" s="29" t="s">
        <v>50</v>
      </c>
    </row>
    <row r="8" spans="1:4" ht="12.75">
      <c r="A8" t="s">
        <v>3</v>
      </c>
      <c r="C8" s="8">
        <v>0.5212531117682409</v>
      </c>
      <c r="D8" s="29" t="s">
        <v>50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-7.984596186182739E-13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-7.792969884211351E-16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29490.331347862302</v>
      </c>
      <c r="E15" s="14" t="s">
        <v>34</v>
      </c>
      <c r="F15" s="33">
        <v>1</v>
      </c>
    </row>
    <row r="16" spans="1:6" ht="12.75">
      <c r="A16" s="16" t="s">
        <v>4</v>
      </c>
      <c r="B16" s="10"/>
      <c r="C16" s="17">
        <f>+C8+C12</f>
        <v>0.5212531117682401</v>
      </c>
      <c r="E16" s="14" t="s">
        <v>30</v>
      </c>
      <c r="F16" s="34">
        <f ca="1">NOW()+15018.5+$C$5/24</f>
        <v>59906.78845439815</v>
      </c>
    </row>
    <row r="17" spans="1:6" ht="13.5" thickBot="1">
      <c r="A17" s="14" t="s">
        <v>27</v>
      </c>
      <c r="B17" s="10"/>
      <c r="C17" s="10">
        <f>COUNT(C21:C2191)</f>
        <v>16</v>
      </c>
      <c r="E17" s="14" t="s">
        <v>35</v>
      </c>
      <c r="F17" s="15">
        <f>ROUND(2*(F16-$C$7)/$C$8,0)/2+F15</f>
        <v>58353.5</v>
      </c>
    </row>
    <row r="18" spans="1:6" ht="14.25" thickBot="1" thickTop="1">
      <c r="A18" s="16" t="s">
        <v>5</v>
      </c>
      <c r="B18" s="10"/>
      <c r="C18" s="19">
        <f>+C15</f>
        <v>29490.331347862302</v>
      </c>
      <c r="D18" s="20">
        <f>+C16</f>
        <v>0.5212531117682401</v>
      </c>
      <c r="E18" s="14" t="s">
        <v>36</v>
      </c>
      <c r="F18" s="23">
        <f>ROUND(2*(F16-$C$15)/$C$16,0)/2+F15</f>
        <v>58353.5</v>
      </c>
    </row>
    <row r="19" spans="5:6" ht="13.5" thickTop="1">
      <c r="E19" s="14" t="s">
        <v>31</v>
      </c>
      <c r="F19" s="18">
        <f>+$C$15+$C$16*F18-15018.5-$C$5/24</f>
        <v>44889.17063876364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s="52" t="s">
        <v>56</v>
      </c>
      <c r="B21" s="54" t="s">
        <v>97</v>
      </c>
      <c r="C21" s="53">
        <v>27983.901</v>
      </c>
      <c r="D21" s="8"/>
      <c r="E21">
        <f aca="true" t="shared" si="0" ref="E21:E36">+(C21-C$7)/C$8</f>
        <v>-2890.0169876244086</v>
      </c>
      <c r="F21">
        <f aca="true" t="shared" si="1" ref="F21:F36">ROUND(2*E21,0)/2</f>
        <v>-2890</v>
      </c>
      <c r="G21">
        <f aca="true" t="shared" si="2" ref="G21:G36">+C21-(C$7+F21*C$8)</f>
        <v>-0.008854852083459264</v>
      </c>
      <c r="H21">
        <f aca="true" t="shared" si="3" ref="H21:H36">+G21</f>
        <v>-0.008854852083459264</v>
      </c>
      <c r="O21">
        <f aca="true" t="shared" si="4" ref="O21:O36">+C$11+C$12*$F21</f>
        <v>1.4537086779188067E-12</v>
      </c>
      <c r="Q21" s="2">
        <f aca="true" t="shared" si="5" ref="Q21:Q36">+C21-15018.5</f>
        <v>12965.401000000002</v>
      </c>
    </row>
    <row r="22" spans="1:17" ht="12.75">
      <c r="A22" s="52" t="s">
        <v>56</v>
      </c>
      <c r="B22" s="54" t="s">
        <v>97</v>
      </c>
      <c r="C22" s="53">
        <v>27984.448</v>
      </c>
      <c r="D22" s="8"/>
      <c r="E22">
        <f t="shared" si="0"/>
        <v>-2888.9675934094885</v>
      </c>
      <c r="F22">
        <f t="shared" si="1"/>
        <v>-2889</v>
      </c>
      <c r="G22">
        <f t="shared" si="2"/>
        <v>0.01689203614660073</v>
      </c>
      <c r="H22">
        <f t="shared" si="3"/>
        <v>0.01689203614660073</v>
      </c>
      <c r="O22">
        <f t="shared" si="4"/>
        <v>1.4529293809303856E-12</v>
      </c>
      <c r="Q22" s="2">
        <f t="shared" si="5"/>
        <v>12965.948</v>
      </c>
    </row>
    <row r="23" spans="1:17" ht="12.75">
      <c r="A23" s="52" t="s">
        <v>56</v>
      </c>
      <c r="B23" s="54" t="s">
        <v>97</v>
      </c>
      <c r="C23" s="53">
        <v>27984.951</v>
      </c>
      <c r="D23" s="8"/>
      <c r="E23">
        <f t="shared" si="0"/>
        <v>-2888.0026111606644</v>
      </c>
      <c r="F23">
        <f t="shared" si="1"/>
        <v>-2888</v>
      </c>
      <c r="G23">
        <f t="shared" si="2"/>
        <v>-0.0013610756213893183</v>
      </c>
      <c r="H23">
        <f t="shared" si="3"/>
        <v>-0.0013610756213893183</v>
      </c>
      <c r="O23">
        <f t="shared" si="4"/>
        <v>1.4521500839419645E-12</v>
      </c>
      <c r="Q23" s="2">
        <f t="shared" si="5"/>
        <v>12966.451000000001</v>
      </c>
    </row>
    <row r="24" spans="1:17" ht="12.75">
      <c r="A24" s="52" t="s">
        <v>56</v>
      </c>
      <c r="B24" s="54" t="s">
        <v>97</v>
      </c>
      <c r="C24" s="53">
        <v>27985.474</v>
      </c>
      <c r="D24" s="8"/>
      <c r="E24">
        <f t="shared" si="0"/>
        <v>-2886.999259836347</v>
      </c>
      <c r="F24">
        <f t="shared" si="1"/>
        <v>-2887</v>
      </c>
      <c r="G24">
        <f t="shared" si="2"/>
        <v>0.0003858126074192114</v>
      </c>
      <c r="H24">
        <f t="shared" si="3"/>
        <v>0.0003858126074192114</v>
      </c>
      <c r="O24">
        <f t="shared" si="4"/>
        <v>1.4513707869535434E-12</v>
      </c>
      <c r="Q24" s="2">
        <f t="shared" si="5"/>
        <v>12966.973999999998</v>
      </c>
    </row>
    <row r="25" spans="1:17" ht="12.75">
      <c r="A25" s="52" t="s">
        <v>56</v>
      </c>
      <c r="B25" s="54" t="s">
        <v>97</v>
      </c>
      <c r="C25" s="53">
        <v>27988.592</v>
      </c>
      <c r="D25" s="8"/>
      <c r="E25">
        <f t="shared" si="0"/>
        <v>-2881.017520965906</v>
      </c>
      <c r="F25">
        <f t="shared" si="1"/>
        <v>-2881</v>
      </c>
      <c r="G25">
        <f t="shared" si="2"/>
        <v>-0.009132857998338295</v>
      </c>
      <c r="H25">
        <f t="shared" si="3"/>
        <v>-0.009132857998338295</v>
      </c>
      <c r="O25">
        <f t="shared" si="4"/>
        <v>1.4466950050230163E-12</v>
      </c>
      <c r="Q25" s="2">
        <f t="shared" si="5"/>
        <v>12970.092</v>
      </c>
    </row>
    <row r="26" spans="1:17" ht="12.75">
      <c r="A26" s="52" t="s">
        <v>56</v>
      </c>
      <c r="B26" s="54" t="s">
        <v>97</v>
      </c>
      <c r="C26" s="53">
        <v>27988.615</v>
      </c>
      <c r="D26" s="8"/>
      <c r="E26">
        <f t="shared" si="0"/>
        <v>-2880.9733965290793</v>
      </c>
      <c r="F26">
        <f t="shared" si="1"/>
        <v>-2881</v>
      </c>
      <c r="G26">
        <f t="shared" si="2"/>
        <v>0.013867142002709443</v>
      </c>
      <c r="H26">
        <f t="shared" si="3"/>
        <v>0.013867142002709443</v>
      </c>
      <c r="O26">
        <f t="shared" si="4"/>
        <v>1.4466950050230163E-12</v>
      </c>
      <c r="Q26" s="2">
        <f t="shared" si="5"/>
        <v>12970.115000000002</v>
      </c>
    </row>
    <row r="27" spans="1:17" ht="12.75">
      <c r="A27" s="52" t="s">
        <v>56</v>
      </c>
      <c r="B27" s="54" t="s">
        <v>97</v>
      </c>
      <c r="C27" s="53">
        <v>28745.453</v>
      </c>
      <c r="D27" s="8"/>
      <c r="E27">
        <f t="shared" si="0"/>
        <v>-1429.0146783689381</v>
      </c>
      <c r="F27">
        <f t="shared" si="1"/>
        <v>-1429</v>
      </c>
      <c r="G27">
        <f t="shared" si="2"/>
        <v>-0.007651145486306632</v>
      </c>
      <c r="H27">
        <f t="shared" si="3"/>
        <v>-0.007651145486306632</v>
      </c>
      <c r="O27">
        <f t="shared" si="4"/>
        <v>3.151557778355281E-13</v>
      </c>
      <c r="Q27" s="2">
        <f t="shared" si="5"/>
        <v>13726.953000000001</v>
      </c>
    </row>
    <row r="28" spans="1:17" ht="12.75">
      <c r="A28" t="s">
        <v>50</v>
      </c>
      <c r="C28" s="8">
        <v>28745.461</v>
      </c>
      <c r="D28" s="8" t="s">
        <v>13</v>
      </c>
      <c r="E28">
        <f t="shared" si="0"/>
        <v>-1428.999330738742</v>
      </c>
      <c r="F28">
        <f t="shared" si="1"/>
        <v>-1429</v>
      </c>
      <c r="G28">
        <f t="shared" si="2"/>
        <v>0.00034885451168520376</v>
      </c>
      <c r="H28">
        <f t="shared" si="3"/>
        <v>0.00034885451168520376</v>
      </c>
      <c r="O28">
        <f t="shared" si="4"/>
        <v>3.151557778355281E-13</v>
      </c>
      <c r="Q28" s="2">
        <f t="shared" si="5"/>
        <v>13726.961</v>
      </c>
    </row>
    <row r="29" spans="1:17" ht="12.75">
      <c r="A29" s="52" t="s">
        <v>56</v>
      </c>
      <c r="B29" s="54" t="s">
        <v>97</v>
      </c>
      <c r="C29" s="53">
        <v>28779.335</v>
      </c>
      <c r="D29" s="8"/>
      <c r="E29">
        <f t="shared" si="0"/>
        <v>-1364.0136275645405</v>
      </c>
      <c r="F29">
        <f t="shared" si="1"/>
        <v>-1364</v>
      </c>
      <c r="G29">
        <f t="shared" si="2"/>
        <v>-0.007103410422132583</v>
      </c>
      <c r="H29">
        <f t="shared" si="3"/>
        <v>-0.007103410422132583</v>
      </c>
      <c r="O29">
        <f t="shared" si="4"/>
        <v>2.6450147358815433E-13</v>
      </c>
      <c r="Q29" s="2">
        <f t="shared" si="5"/>
        <v>13760.835</v>
      </c>
    </row>
    <row r="30" spans="1:17" ht="12.75">
      <c r="A30" s="52" t="s">
        <v>56</v>
      </c>
      <c r="B30" s="54" t="s">
        <v>97</v>
      </c>
      <c r="C30" s="53">
        <v>28780.365</v>
      </c>
      <c r="D30" s="8"/>
      <c r="E30">
        <f t="shared" si="0"/>
        <v>-1362.0376201762904</v>
      </c>
      <c r="F30">
        <f t="shared" si="1"/>
        <v>-1362</v>
      </c>
      <c r="G30">
        <f t="shared" si="2"/>
        <v>-0.019609633956861217</v>
      </c>
      <c r="H30">
        <f t="shared" si="3"/>
        <v>-0.019609633956861217</v>
      </c>
      <c r="O30">
        <f t="shared" si="4"/>
        <v>2.6294287961131213E-13</v>
      </c>
      <c r="Q30" s="2">
        <f t="shared" si="5"/>
        <v>13761.865000000002</v>
      </c>
    </row>
    <row r="31" spans="1:17" ht="12.75">
      <c r="A31" s="52" t="s">
        <v>56</v>
      </c>
      <c r="B31" s="54" t="s">
        <v>97</v>
      </c>
      <c r="C31" s="53">
        <v>29017.558</v>
      </c>
      <c r="D31" s="8"/>
      <c r="E31">
        <f t="shared" si="0"/>
        <v>-906.9938139237535</v>
      </c>
      <c r="F31">
        <f t="shared" si="1"/>
        <v>-907</v>
      </c>
      <c r="G31">
        <f t="shared" si="2"/>
        <v>0.0032245114925899543</v>
      </c>
      <c r="H31">
        <f t="shared" si="3"/>
        <v>0.0032245114925899543</v>
      </c>
      <c r="O31">
        <f t="shared" si="4"/>
        <v>-9.163725012030432E-14</v>
      </c>
      <c r="Q31" s="2">
        <f t="shared" si="5"/>
        <v>13999.058</v>
      </c>
    </row>
    <row r="32" spans="1:17" ht="12.75">
      <c r="A32" s="52" t="s">
        <v>56</v>
      </c>
      <c r="B32" s="54" t="s">
        <v>97</v>
      </c>
      <c r="C32" s="53">
        <v>29017.58</v>
      </c>
      <c r="D32" s="8"/>
      <c r="E32">
        <f t="shared" si="0"/>
        <v>-906.9516079407019</v>
      </c>
      <c r="F32">
        <f t="shared" si="1"/>
        <v>-907</v>
      </c>
      <c r="G32">
        <f t="shared" si="2"/>
        <v>0.025224511493433965</v>
      </c>
      <c r="H32">
        <f t="shared" si="3"/>
        <v>0.025224511493433965</v>
      </c>
      <c r="O32">
        <f t="shared" si="4"/>
        <v>-9.163725012030432E-14</v>
      </c>
      <c r="Q32" s="2">
        <f t="shared" si="5"/>
        <v>13999.080000000002</v>
      </c>
    </row>
    <row r="33" spans="1:17" ht="12.75">
      <c r="A33" s="52" t="s">
        <v>56</v>
      </c>
      <c r="B33" s="54" t="s">
        <v>97</v>
      </c>
      <c r="C33" s="53">
        <v>29136.384</v>
      </c>
      <c r="D33" s="8"/>
      <c r="E33">
        <f t="shared" si="0"/>
        <v>-679.0316256561281</v>
      </c>
      <c r="F33">
        <f t="shared" si="1"/>
        <v>-679</v>
      </c>
      <c r="G33">
        <f t="shared" si="2"/>
        <v>-0.016484971667523496</v>
      </c>
      <c r="H33">
        <f t="shared" si="3"/>
        <v>-0.016484971667523496</v>
      </c>
      <c r="O33">
        <f t="shared" si="4"/>
        <v>-2.693169634803231E-13</v>
      </c>
      <c r="Q33" s="2">
        <f t="shared" si="5"/>
        <v>14117.883999999998</v>
      </c>
    </row>
    <row r="34" spans="1:17" ht="12.75">
      <c r="A34" s="52" t="s">
        <v>56</v>
      </c>
      <c r="B34" s="54" t="s">
        <v>97</v>
      </c>
      <c r="C34" s="53">
        <v>29397.54</v>
      </c>
      <c r="D34" s="8"/>
      <c r="E34">
        <f t="shared" si="0"/>
        <v>-178.01591159336456</v>
      </c>
      <c r="F34">
        <f t="shared" si="1"/>
        <v>-178</v>
      </c>
      <c r="G34">
        <f t="shared" si="2"/>
        <v>-0.008293967555800918</v>
      </c>
      <c r="H34">
        <f t="shared" si="3"/>
        <v>-0.008293967555800918</v>
      </c>
      <c r="O34">
        <f t="shared" si="4"/>
        <v>-6.597447546793118E-13</v>
      </c>
      <c r="Q34" s="2">
        <f t="shared" si="5"/>
        <v>14379.04</v>
      </c>
    </row>
    <row r="35" spans="1:17" ht="12.75">
      <c r="A35" s="52" t="s">
        <v>56</v>
      </c>
      <c r="B35" s="54" t="s">
        <v>97</v>
      </c>
      <c r="C35" s="53">
        <v>29407.45</v>
      </c>
      <c r="D35" s="8"/>
      <c r="E35">
        <f t="shared" si="0"/>
        <v>-159.00403468315815</v>
      </c>
      <c r="F35">
        <f t="shared" si="1"/>
        <v>-159</v>
      </c>
      <c r="G35">
        <f t="shared" si="2"/>
        <v>-0.002103091152093839</v>
      </c>
      <c r="H35">
        <f t="shared" si="3"/>
        <v>-0.002103091152093839</v>
      </c>
      <c r="O35">
        <f t="shared" si="4"/>
        <v>-6.745513974593134E-13</v>
      </c>
      <c r="Q35" s="2">
        <f t="shared" si="5"/>
        <v>14388.95</v>
      </c>
    </row>
    <row r="36" spans="1:17" ht="12.75">
      <c r="A36" s="52" t="s">
        <v>56</v>
      </c>
      <c r="B36" s="54" t="s">
        <v>97</v>
      </c>
      <c r="C36" s="53">
        <v>29490.352</v>
      </c>
      <c r="D36" s="8"/>
      <c r="E36">
        <f t="shared" si="0"/>
        <v>0.03962017152604616</v>
      </c>
      <c r="F36">
        <f t="shared" si="1"/>
        <v>0</v>
      </c>
      <c r="G36">
        <f t="shared" si="2"/>
        <v>0.02065213769674301</v>
      </c>
      <c r="H36">
        <f t="shared" si="3"/>
        <v>0.02065213769674301</v>
      </c>
      <c r="O36">
        <f t="shared" si="4"/>
        <v>-7.984596186182739E-13</v>
      </c>
      <c r="Q36" s="2">
        <f t="shared" si="5"/>
        <v>14471.851999999999</v>
      </c>
    </row>
    <row r="37" spans="2:4" ht="12.75">
      <c r="B37" s="3"/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3"/>
  <sheetViews>
    <sheetView zoomScalePageLayoutView="0" workbookViewId="0" topLeftCell="A1">
      <selection activeCell="A11" sqref="A11:C25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6" t="s">
        <v>41</v>
      </c>
      <c r="I1" s="37" t="s">
        <v>42</v>
      </c>
      <c r="J1" s="38" t="s">
        <v>40</v>
      </c>
    </row>
    <row r="2" spans="9:10" ht="12.75">
      <c r="I2" s="39" t="s">
        <v>43</v>
      </c>
      <c r="J2" s="40" t="s">
        <v>39</v>
      </c>
    </row>
    <row r="3" spans="1:10" ht="12.75">
      <c r="A3" s="41" t="s">
        <v>44</v>
      </c>
      <c r="I3" s="39" t="s">
        <v>45</v>
      </c>
      <c r="J3" s="40" t="s">
        <v>37</v>
      </c>
    </row>
    <row r="4" spans="9:10" ht="12.75">
      <c r="I4" s="39" t="s">
        <v>46</v>
      </c>
      <c r="J4" s="40" t="s">
        <v>37</v>
      </c>
    </row>
    <row r="5" spans="9:10" ht="13.5" thickBot="1">
      <c r="I5" s="42" t="s">
        <v>47</v>
      </c>
      <c r="J5" s="43" t="s">
        <v>38</v>
      </c>
    </row>
    <row r="10" ht="13.5" thickBot="1"/>
    <row r="11" spans="1:16" ht="12.75" customHeight="1" thickBot="1">
      <c r="A11" s="8" t="str">
        <f aca="true" t="shared" si="0" ref="A11:A25">P11</f>
        <v> AOLD 21.437 </v>
      </c>
      <c r="B11" s="3" t="str">
        <f aca="true" t="shared" si="1" ref="B11:B25">IF(H11=INT(H11),"I","II")</f>
        <v>I</v>
      </c>
      <c r="C11" s="8">
        <f aca="true" t="shared" si="2" ref="C11:C25">1*G11</f>
        <v>27983.901</v>
      </c>
      <c r="D11" s="10" t="str">
        <f aca="true" t="shared" si="3" ref="D11:D25">VLOOKUP(F11,I$1:J$5,2,FALSE)</f>
        <v>vis</v>
      </c>
      <c r="E11" s="44">
        <f>VLOOKUP(C11,A!C$21:E$973,3,FALSE)</f>
        <v>-2890.0169876244086</v>
      </c>
      <c r="F11" s="3" t="s">
        <v>47</v>
      </c>
      <c r="G11" s="10" t="str">
        <f aca="true" t="shared" si="4" ref="G11:G25">MID(I11,3,LEN(I11)-3)</f>
        <v>27983.901</v>
      </c>
      <c r="H11" s="8">
        <f aca="true" t="shared" si="5" ref="H11:H25">1*K11</f>
        <v>-1461</v>
      </c>
      <c r="I11" s="45" t="s">
        <v>51</v>
      </c>
      <c r="J11" s="46" t="s">
        <v>52</v>
      </c>
      <c r="K11" s="45">
        <v>-1461</v>
      </c>
      <c r="L11" s="45" t="s">
        <v>53</v>
      </c>
      <c r="M11" s="46" t="s">
        <v>54</v>
      </c>
      <c r="N11" s="46"/>
      <c r="O11" s="47" t="s">
        <v>55</v>
      </c>
      <c r="P11" s="47" t="s">
        <v>56</v>
      </c>
    </row>
    <row r="12" spans="1:16" ht="12.75" customHeight="1" thickBot="1">
      <c r="A12" s="8" t="str">
        <f t="shared" si="0"/>
        <v> AOLD 21.437 </v>
      </c>
      <c r="B12" s="3" t="str">
        <f t="shared" si="1"/>
        <v>I</v>
      </c>
      <c r="C12" s="8">
        <f t="shared" si="2"/>
        <v>27984.448</v>
      </c>
      <c r="D12" s="10" t="str">
        <f t="shared" si="3"/>
        <v>vis</v>
      </c>
      <c r="E12" s="44">
        <f>VLOOKUP(C12,A!C$21:E$973,3,FALSE)</f>
        <v>-2888.9675934094885</v>
      </c>
      <c r="F12" s="3" t="s">
        <v>47</v>
      </c>
      <c r="G12" s="10" t="str">
        <f t="shared" si="4"/>
        <v>27984.448</v>
      </c>
      <c r="H12" s="8">
        <f t="shared" si="5"/>
        <v>-1460</v>
      </c>
      <c r="I12" s="45" t="s">
        <v>57</v>
      </c>
      <c r="J12" s="46" t="s">
        <v>58</v>
      </c>
      <c r="K12" s="45">
        <v>-1460</v>
      </c>
      <c r="L12" s="45" t="s">
        <v>59</v>
      </c>
      <c r="M12" s="46" t="s">
        <v>54</v>
      </c>
      <c r="N12" s="46"/>
      <c r="O12" s="47" t="s">
        <v>55</v>
      </c>
      <c r="P12" s="47" t="s">
        <v>56</v>
      </c>
    </row>
    <row r="13" spans="1:16" ht="12.75" customHeight="1" thickBot="1">
      <c r="A13" s="8" t="str">
        <f t="shared" si="0"/>
        <v> AOLD 21.437 </v>
      </c>
      <c r="B13" s="3" t="str">
        <f t="shared" si="1"/>
        <v>I</v>
      </c>
      <c r="C13" s="8">
        <f t="shared" si="2"/>
        <v>27984.951</v>
      </c>
      <c r="D13" s="10" t="str">
        <f t="shared" si="3"/>
        <v>vis</v>
      </c>
      <c r="E13" s="44">
        <f>VLOOKUP(C13,A!C$21:E$973,3,FALSE)</f>
        <v>-2888.0026111606644</v>
      </c>
      <c r="F13" s="3" t="s">
        <v>47</v>
      </c>
      <c r="G13" s="10" t="str">
        <f t="shared" si="4"/>
        <v>27984.951</v>
      </c>
      <c r="H13" s="8">
        <f t="shared" si="5"/>
        <v>-1459</v>
      </c>
      <c r="I13" s="45" t="s">
        <v>60</v>
      </c>
      <c r="J13" s="46" t="s">
        <v>61</v>
      </c>
      <c r="K13" s="45">
        <v>-1459</v>
      </c>
      <c r="L13" s="45" t="s">
        <v>62</v>
      </c>
      <c r="M13" s="46" t="s">
        <v>54</v>
      </c>
      <c r="N13" s="46"/>
      <c r="O13" s="47" t="s">
        <v>55</v>
      </c>
      <c r="P13" s="47" t="s">
        <v>56</v>
      </c>
    </row>
    <row r="14" spans="1:16" ht="12.75" customHeight="1" thickBot="1">
      <c r="A14" s="8" t="str">
        <f t="shared" si="0"/>
        <v> AOLD 21.437 </v>
      </c>
      <c r="B14" s="3" t="str">
        <f t="shared" si="1"/>
        <v>I</v>
      </c>
      <c r="C14" s="8">
        <f t="shared" si="2"/>
        <v>27985.474</v>
      </c>
      <c r="D14" s="10" t="str">
        <f t="shared" si="3"/>
        <v>vis</v>
      </c>
      <c r="E14" s="44">
        <f>VLOOKUP(C14,A!C$21:E$973,3,FALSE)</f>
        <v>-2886.999259836347</v>
      </c>
      <c r="F14" s="3" t="s">
        <v>47</v>
      </c>
      <c r="G14" s="10" t="str">
        <f t="shared" si="4"/>
        <v>27985.474</v>
      </c>
      <c r="H14" s="8">
        <f t="shared" si="5"/>
        <v>-1458</v>
      </c>
      <c r="I14" s="45" t="s">
        <v>63</v>
      </c>
      <c r="J14" s="46" t="s">
        <v>64</v>
      </c>
      <c r="K14" s="45">
        <v>-1458</v>
      </c>
      <c r="L14" s="45" t="s">
        <v>65</v>
      </c>
      <c r="M14" s="46" t="s">
        <v>54</v>
      </c>
      <c r="N14" s="46"/>
      <c r="O14" s="47" t="s">
        <v>55</v>
      </c>
      <c r="P14" s="47" t="s">
        <v>56</v>
      </c>
    </row>
    <row r="15" spans="1:16" ht="12.75" customHeight="1" thickBot="1">
      <c r="A15" s="8" t="str">
        <f t="shared" si="0"/>
        <v> AOLD 21.437 </v>
      </c>
      <c r="B15" s="3" t="str">
        <f t="shared" si="1"/>
        <v>I</v>
      </c>
      <c r="C15" s="8">
        <f t="shared" si="2"/>
        <v>27988.592</v>
      </c>
      <c r="D15" s="10" t="str">
        <f t="shared" si="3"/>
        <v>vis</v>
      </c>
      <c r="E15" s="44">
        <f>VLOOKUP(C15,A!C$21:E$973,3,FALSE)</f>
        <v>-2881.017520965906</v>
      </c>
      <c r="F15" s="3" t="s">
        <v>47</v>
      </c>
      <c r="G15" s="10" t="str">
        <f t="shared" si="4"/>
        <v>27988.592</v>
      </c>
      <c r="H15" s="8">
        <f t="shared" si="5"/>
        <v>-1452</v>
      </c>
      <c r="I15" s="45" t="s">
        <v>66</v>
      </c>
      <c r="J15" s="46" t="s">
        <v>67</v>
      </c>
      <c r="K15" s="45">
        <v>-1452</v>
      </c>
      <c r="L15" s="45" t="s">
        <v>53</v>
      </c>
      <c r="M15" s="46" t="s">
        <v>54</v>
      </c>
      <c r="N15" s="46"/>
      <c r="O15" s="47" t="s">
        <v>55</v>
      </c>
      <c r="P15" s="47" t="s">
        <v>56</v>
      </c>
    </row>
    <row r="16" spans="1:16" ht="12.75" customHeight="1" thickBot="1">
      <c r="A16" s="8" t="str">
        <f t="shared" si="0"/>
        <v> AOLD 21.437 </v>
      </c>
      <c r="B16" s="3" t="str">
        <f t="shared" si="1"/>
        <v>I</v>
      </c>
      <c r="C16" s="8">
        <f t="shared" si="2"/>
        <v>27988.615</v>
      </c>
      <c r="D16" s="10" t="str">
        <f t="shared" si="3"/>
        <v>vis</v>
      </c>
      <c r="E16" s="44">
        <f>VLOOKUP(C16,A!C$21:E$973,3,FALSE)</f>
        <v>-2880.9733965290793</v>
      </c>
      <c r="F16" s="3" t="s">
        <v>47</v>
      </c>
      <c r="G16" s="10" t="str">
        <f t="shared" si="4"/>
        <v>27988.615</v>
      </c>
      <c r="H16" s="8">
        <f t="shared" si="5"/>
        <v>-1452</v>
      </c>
      <c r="I16" s="45" t="s">
        <v>68</v>
      </c>
      <c r="J16" s="46" t="s">
        <v>69</v>
      </c>
      <c r="K16" s="45">
        <v>-1452</v>
      </c>
      <c r="L16" s="45" t="s">
        <v>70</v>
      </c>
      <c r="M16" s="46" t="s">
        <v>54</v>
      </c>
      <c r="N16" s="46"/>
      <c r="O16" s="47" t="s">
        <v>55</v>
      </c>
      <c r="P16" s="47" t="s">
        <v>56</v>
      </c>
    </row>
    <row r="17" spans="1:16" ht="12.75" customHeight="1" thickBot="1">
      <c r="A17" s="8" t="str">
        <f t="shared" si="0"/>
        <v> AOLD 21.437 </v>
      </c>
      <c r="B17" s="3" t="str">
        <f t="shared" si="1"/>
        <v>I</v>
      </c>
      <c r="C17" s="8">
        <f t="shared" si="2"/>
        <v>28745.453</v>
      </c>
      <c r="D17" s="10" t="str">
        <f t="shared" si="3"/>
        <v>vis</v>
      </c>
      <c r="E17" s="44">
        <f>VLOOKUP(C17,A!C$21:E$973,3,FALSE)</f>
        <v>-1429.0146783689381</v>
      </c>
      <c r="F17" s="3" t="s">
        <v>47</v>
      </c>
      <c r="G17" s="10" t="str">
        <f t="shared" si="4"/>
        <v>28745.453</v>
      </c>
      <c r="H17" s="8">
        <f t="shared" si="5"/>
        <v>0</v>
      </c>
      <c r="I17" s="45" t="s">
        <v>71</v>
      </c>
      <c r="J17" s="46" t="s">
        <v>72</v>
      </c>
      <c r="K17" s="45">
        <v>0</v>
      </c>
      <c r="L17" s="45" t="s">
        <v>73</v>
      </c>
      <c r="M17" s="46" t="s">
        <v>54</v>
      </c>
      <c r="N17" s="46"/>
      <c r="O17" s="47" t="s">
        <v>55</v>
      </c>
      <c r="P17" s="47" t="s">
        <v>56</v>
      </c>
    </row>
    <row r="18" spans="1:16" ht="12.75" customHeight="1" thickBot="1">
      <c r="A18" s="8" t="str">
        <f t="shared" si="0"/>
        <v> AOLD 21.437 </v>
      </c>
      <c r="B18" s="3" t="str">
        <f t="shared" si="1"/>
        <v>I</v>
      </c>
      <c r="C18" s="8">
        <f t="shared" si="2"/>
        <v>28779.335</v>
      </c>
      <c r="D18" s="10" t="str">
        <f t="shared" si="3"/>
        <v>vis</v>
      </c>
      <c r="E18" s="44">
        <f>VLOOKUP(C18,A!C$21:E$973,3,FALSE)</f>
        <v>-1364.0136275645405</v>
      </c>
      <c r="F18" s="3" t="s">
        <v>47</v>
      </c>
      <c r="G18" s="10" t="str">
        <f t="shared" si="4"/>
        <v>28779.335</v>
      </c>
      <c r="H18" s="8">
        <f t="shared" si="5"/>
        <v>65</v>
      </c>
      <c r="I18" s="45" t="s">
        <v>74</v>
      </c>
      <c r="J18" s="46" t="s">
        <v>75</v>
      </c>
      <c r="K18" s="45">
        <v>65</v>
      </c>
      <c r="L18" s="45" t="s">
        <v>76</v>
      </c>
      <c r="M18" s="46" t="s">
        <v>54</v>
      </c>
      <c r="N18" s="46"/>
      <c r="O18" s="47" t="s">
        <v>55</v>
      </c>
      <c r="P18" s="47" t="s">
        <v>56</v>
      </c>
    </row>
    <row r="19" spans="1:16" ht="12.75" customHeight="1" thickBot="1">
      <c r="A19" s="8" t="str">
        <f t="shared" si="0"/>
        <v> AOLD 21.437 </v>
      </c>
      <c r="B19" s="3" t="str">
        <f t="shared" si="1"/>
        <v>I</v>
      </c>
      <c r="C19" s="8">
        <f t="shared" si="2"/>
        <v>28780.365</v>
      </c>
      <c r="D19" s="10" t="str">
        <f t="shared" si="3"/>
        <v>vis</v>
      </c>
      <c r="E19" s="44">
        <f>VLOOKUP(C19,A!C$21:E$973,3,FALSE)</f>
        <v>-1362.0376201762904</v>
      </c>
      <c r="F19" s="3" t="s">
        <v>47</v>
      </c>
      <c r="G19" s="10" t="str">
        <f t="shared" si="4"/>
        <v>28780.365</v>
      </c>
      <c r="H19" s="8">
        <f t="shared" si="5"/>
        <v>67</v>
      </c>
      <c r="I19" s="45" t="s">
        <v>77</v>
      </c>
      <c r="J19" s="46" t="s">
        <v>78</v>
      </c>
      <c r="K19" s="45">
        <v>67</v>
      </c>
      <c r="L19" s="45" t="s">
        <v>79</v>
      </c>
      <c r="M19" s="46" t="s">
        <v>54</v>
      </c>
      <c r="N19" s="46"/>
      <c r="O19" s="47" t="s">
        <v>55</v>
      </c>
      <c r="P19" s="47" t="s">
        <v>56</v>
      </c>
    </row>
    <row r="20" spans="1:16" ht="12.75" customHeight="1" thickBot="1">
      <c r="A20" s="8" t="str">
        <f t="shared" si="0"/>
        <v> AOLD 21.437 </v>
      </c>
      <c r="B20" s="3" t="str">
        <f t="shared" si="1"/>
        <v>I</v>
      </c>
      <c r="C20" s="8">
        <f t="shared" si="2"/>
        <v>29017.558</v>
      </c>
      <c r="D20" s="10" t="str">
        <f t="shared" si="3"/>
        <v>vis</v>
      </c>
      <c r="E20" s="44">
        <f>VLOOKUP(C20,A!C$21:E$973,3,FALSE)</f>
        <v>-906.9938139237535</v>
      </c>
      <c r="F20" s="3" t="s">
        <v>47</v>
      </c>
      <c r="G20" s="10" t="str">
        <f t="shared" si="4"/>
        <v>29017.558</v>
      </c>
      <c r="H20" s="8">
        <f t="shared" si="5"/>
        <v>522</v>
      </c>
      <c r="I20" s="45" t="s">
        <v>80</v>
      </c>
      <c r="J20" s="46" t="s">
        <v>81</v>
      </c>
      <c r="K20" s="45">
        <v>522</v>
      </c>
      <c r="L20" s="45" t="s">
        <v>82</v>
      </c>
      <c r="M20" s="46" t="s">
        <v>54</v>
      </c>
      <c r="N20" s="46"/>
      <c r="O20" s="47" t="s">
        <v>55</v>
      </c>
      <c r="P20" s="47" t="s">
        <v>56</v>
      </c>
    </row>
    <row r="21" spans="1:16" ht="12.75" customHeight="1" thickBot="1">
      <c r="A21" s="8" t="str">
        <f t="shared" si="0"/>
        <v> AOLD 21.437 </v>
      </c>
      <c r="B21" s="3" t="str">
        <f t="shared" si="1"/>
        <v>I</v>
      </c>
      <c r="C21" s="8">
        <f t="shared" si="2"/>
        <v>29017.58</v>
      </c>
      <c r="D21" s="10" t="str">
        <f t="shared" si="3"/>
        <v>vis</v>
      </c>
      <c r="E21" s="44">
        <f>VLOOKUP(C21,A!C$21:E$973,3,FALSE)</f>
        <v>-906.9516079407019</v>
      </c>
      <c r="F21" s="3" t="s">
        <v>47</v>
      </c>
      <c r="G21" s="10" t="str">
        <f t="shared" si="4"/>
        <v>29017.580</v>
      </c>
      <c r="H21" s="8">
        <f t="shared" si="5"/>
        <v>522</v>
      </c>
      <c r="I21" s="45" t="s">
        <v>83</v>
      </c>
      <c r="J21" s="46" t="s">
        <v>84</v>
      </c>
      <c r="K21" s="45">
        <v>522</v>
      </c>
      <c r="L21" s="45" t="s">
        <v>85</v>
      </c>
      <c r="M21" s="46" t="s">
        <v>54</v>
      </c>
      <c r="N21" s="46"/>
      <c r="O21" s="47" t="s">
        <v>55</v>
      </c>
      <c r="P21" s="47" t="s">
        <v>56</v>
      </c>
    </row>
    <row r="22" spans="1:16" ht="12.75" customHeight="1" thickBot="1">
      <c r="A22" s="8" t="str">
        <f t="shared" si="0"/>
        <v> AOLD 21.437 </v>
      </c>
      <c r="B22" s="3" t="str">
        <f t="shared" si="1"/>
        <v>I</v>
      </c>
      <c r="C22" s="8">
        <f t="shared" si="2"/>
        <v>29136.384</v>
      </c>
      <c r="D22" s="10" t="str">
        <f t="shared" si="3"/>
        <v>vis</v>
      </c>
      <c r="E22" s="44">
        <f>VLOOKUP(C22,A!C$21:E$973,3,FALSE)</f>
        <v>-679.0316256561281</v>
      </c>
      <c r="F22" s="3" t="s">
        <v>47</v>
      </c>
      <c r="G22" s="10" t="str">
        <f t="shared" si="4"/>
        <v>29136.384</v>
      </c>
      <c r="H22" s="8">
        <f t="shared" si="5"/>
        <v>750</v>
      </c>
      <c r="I22" s="45" t="s">
        <v>86</v>
      </c>
      <c r="J22" s="46" t="s">
        <v>87</v>
      </c>
      <c r="K22" s="45">
        <v>750</v>
      </c>
      <c r="L22" s="45" t="s">
        <v>88</v>
      </c>
      <c r="M22" s="46" t="s">
        <v>54</v>
      </c>
      <c r="N22" s="46"/>
      <c r="O22" s="47" t="s">
        <v>55</v>
      </c>
      <c r="P22" s="47" t="s">
        <v>56</v>
      </c>
    </row>
    <row r="23" spans="1:16" ht="12.75" customHeight="1" thickBot="1">
      <c r="A23" s="8" t="str">
        <f t="shared" si="0"/>
        <v> AOLD 21.437 </v>
      </c>
      <c r="B23" s="3" t="str">
        <f t="shared" si="1"/>
        <v>I</v>
      </c>
      <c r="C23" s="8">
        <f t="shared" si="2"/>
        <v>29397.54</v>
      </c>
      <c r="D23" s="10" t="str">
        <f t="shared" si="3"/>
        <v>vis</v>
      </c>
      <c r="E23" s="44">
        <f>VLOOKUP(C23,A!C$21:E$973,3,FALSE)</f>
        <v>-178.01591159336456</v>
      </c>
      <c r="F23" s="3" t="s">
        <v>47</v>
      </c>
      <c r="G23" s="10" t="str">
        <f t="shared" si="4"/>
        <v>29397.540</v>
      </c>
      <c r="H23" s="8">
        <f t="shared" si="5"/>
        <v>1251</v>
      </c>
      <c r="I23" s="45" t="s">
        <v>89</v>
      </c>
      <c r="J23" s="46" t="s">
        <v>90</v>
      </c>
      <c r="K23" s="45">
        <v>1251</v>
      </c>
      <c r="L23" s="45" t="s">
        <v>65</v>
      </c>
      <c r="M23" s="46" t="s">
        <v>54</v>
      </c>
      <c r="N23" s="46"/>
      <c r="O23" s="47" t="s">
        <v>55</v>
      </c>
      <c r="P23" s="47" t="s">
        <v>56</v>
      </c>
    </row>
    <row r="24" spans="1:16" ht="12.75" customHeight="1" thickBot="1">
      <c r="A24" s="8" t="str">
        <f t="shared" si="0"/>
        <v> AOLD 21.437 </v>
      </c>
      <c r="B24" s="3" t="str">
        <f t="shared" si="1"/>
        <v>I</v>
      </c>
      <c r="C24" s="8">
        <f t="shared" si="2"/>
        <v>29407.45</v>
      </c>
      <c r="D24" s="10" t="str">
        <f t="shared" si="3"/>
        <v>vis</v>
      </c>
      <c r="E24" s="44">
        <f>VLOOKUP(C24,A!C$21:E$973,3,FALSE)</f>
        <v>-159.00403468315815</v>
      </c>
      <c r="F24" s="3" t="s">
        <v>47</v>
      </c>
      <c r="G24" s="10" t="str">
        <f t="shared" si="4"/>
        <v>29407.450</v>
      </c>
      <c r="H24" s="8">
        <f t="shared" si="5"/>
        <v>1270</v>
      </c>
      <c r="I24" s="45" t="s">
        <v>91</v>
      </c>
      <c r="J24" s="46" t="s">
        <v>92</v>
      </c>
      <c r="K24" s="45">
        <v>1270</v>
      </c>
      <c r="L24" s="45" t="s">
        <v>93</v>
      </c>
      <c r="M24" s="46" t="s">
        <v>54</v>
      </c>
      <c r="N24" s="46"/>
      <c r="O24" s="47" t="s">
        <v>55</v>
      </c>
      <c r="P24" s="47" t="s">
        <v>56</v>
      </c>
    </row>
    <row r="25" spans="1:16" ht="12.75" customHeight="1" thickBot="1">
      <c r="A25" s="8" t="str">
        <f t="shared" si="0"/>
        <v> AOLD 21.437 </v>
      </c>
      <c r="B25" s="3" t="str">
        <f t="shared" si="1"/>
        <v>I</v>
      </c>
      <c r="C25" s="8">
        <f t="shared" si="2"/>
        <v>29490.352</v>
      </c>
      <c r="D25" s="10" t="str">
        <f t="shared" si="3"/>
        <v>vis</v>
      </c>
      <c r="E25" s="44">
        <f>VLOOKUP(C25,A!C$21:E$973,3,FALSE)</f>
        <v>0.03962017152604616</v>
      </c>
      <c r="F25" s="3" t="s">
        <v>47</v>
      </c>
      <c r="G25" s="10" t="str">
        <f t="shared" si="4"/>
        <v>29490.352</v>
      </c>
      <c r="H25" s="8">
        <f t="shared" si="5"/>
        <v>1429</v>
      </c>
      <c r="I25" s="45" t="s">
        <v>94</v>
      </c>
      <c r="J25" s="46" t="s">
        <v>95</v>
      </c>
      <c r="K25" s="45">
        <v>1429</v>
      </c>
      <c r="L25" s="45" t="s">
        <v>96</v>
      </c>
      <c r="M25" s="46" t="s">
        <v>54</v>
      </c>
      <c r="N25" s="46"/>
      <c r="O25" s="47" t="s">
        <v>55</v>
      </c>
      <c r="P25" s="47" t="s">
        <v>56</v>
      </c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