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<sst xmlns="http://schemas.openxmlformats.org/spreadsheetml/2006/main" count="140" uniqueCount="96">
  <si>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</si>
  <si>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</si>
  <si>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</si>
  <si>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</si>
  <si>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</si>
  <si>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</si>
  <si>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</si>
  <si>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</si>
  <si>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</si>
  <si>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</si>
  <si>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</si>
  <si>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</si>
  <si>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</si>
  <si>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</si>
  <si>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</si>
  <si>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</si>
  <si>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</si>
  <si>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</si>
  <si>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</si>
  <si>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</si>
  <si>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</si>
  <si>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</si>
  <si>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</si>
  <si>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</si>
  <si>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</si>
  <si>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</si>
  <si>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</si>
  <si>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</si>
  <si>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</si>
  <si>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</si>
  <si>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</si>
  <si>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EB</t>
  </si>
  <si>
    <t>IBVS 0046</t>
  </si>
  <si>
    <t># of data points:</t>
  </si>
  <si>
    <t>VZ Sct / gsc 5699-6243</t>
  </si>
  <si>
    <t>IBVS 6029</t>
  </si>
  <si>
    <t>I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</si>
  <si>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</si>
  <si>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</si>
  <si>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</si>
  <si>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</si>
  <si>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</si>
  <si>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</si>
  <si>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</si>
  <si>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</si>
  <si>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</si>
  <si>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</si>
  <si>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</si>
  <si>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</si>
  <si>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</si>
  <si>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</si>
  <si>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</si>
  <si>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</si>
  <si>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</si>
  <si>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</si>
  <si>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</si>
  <si>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</si>
  <si>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2420308.40 </t>
  </si>
  <si>
    <t> 24.06.1914 21:36 </t>
  </si>
  <si>
    <t> -0.10 </t>
  </si>
  <si>
    <t>P </t>
  </si>
  <si>
    <t> S.Beljawsky </t>
  </si>
  <si>
    <t> HB 821 </t>
  </si>
  <si>
    <t>2420688.42 </t>
  </si>
  <si>
    <t> 09.07.1915 22:04 </t>
  </si>
  <si>
    <t> -0.01 </t>
  </si>
  <si>
    <t>2425098.238 </t>
  </si>
  <si>
    <t> 05.08.1927 17:42 </t>
  </si>
  <si>
    <t> 0.001 </t>
  </si>
  <si>
    <t>V </t>
  </si>
  <si>
    <t> Zessewitsch [Lkn.] </t>
  </si>
  <si>
    <t> IODE 4.2.359 </t>
  </si>
  <si>
    <t>2425111.389 </t>
  </si>
  <si>
    <t> 18.08.1927 21:20 </t>
  </si>
  <si>
    <t> -0.025 </t>
  </si>
  <si>
    <t> K.Kordylewski </t>
  </si>
  <si>
    <t> AAC 1.164 </t>
  </si>
  <si>
    <t>2425882.229 </t>
  </si>
  <si>
    <t> 27.09.1929 17:29 </t>
  </si>
  <si>
    <t> -0.023 </t>
  </si>
  <si>
    <t> AA 26.343 </t>
  </si>
  <si>
    <t>2426510.334 </t>
  </si>
  <si>
    <t> 17.06.1931 20:00 </t>
  </si>
  <si>
    <t> -0.008 </t>
  </si>
  <si>
    <t>2428359.472 </t>
  </si>
  <si>
    <t> 09.07.1936 23:19 </t>
  </si>
  <si>
    <t> -0.004 </t>
  </si>
  <si>
    <t>2428370.449 </t>
  </si>
  <si>
    <t> 20.07.1936 22:46 </t>
  </si>
  <si>
    <t> -0.007 </t>
  </si>
  <si>
    <t>2456076.8520 </t>
  </si>
  <si>
    <t> 29.05.2012 08:26 </t>
  </si>
  <si>
    <t> 0.1460 </t>
  </si>
  <si>
    <t>C </t>
  </si>
  <si>
    <t> R.Diethelm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</si>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</sst>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VZ Sct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0.0006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7011058"/>
        <c:axId val="66228611"/>
      </c:scatterChart>
      <c:valAx>
        <c:axId val="670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crossBetween val="midCat"/>
        <c:dispUnits/>
      </c:valAx>
      <c:valAx>
        <c:axId val="6622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15</xdr:col>
      <xdr:colOff>219075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9095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25</v>
      </c>
      <c r="B2" t="s">
        <v>31</v>
      </c>
    </row>
    <row r="3" ht="13.5" thickBot="1"/>
    <row r="4" spans="1:4" ht="14.25" thickBot="1" thickTop="1">
      <c r="A4" s="6" t="s">
        <v>0</v>
      </c>
      <c r="C4" s="3">
        <v>28368.26</v>
      </c>
      <c r="D4" s="4">
        <v>2.19612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28368.26</v>
      </c>
    </row>
    <row r="8" spans="1:3" ht="12.75">
      <c r="A8" t="s">
        <v>3</v>
      </c>
      <c r="C8">
        <f>+D4</f>
        <v>2.19612</v>
      </c>
    </row>
    <row r="9" spans="1:4" ht="12.75">
      <c r="A9" s="15" t="s">
        <v>37</v>
      </c>
      <c r="B9" s="16"/>
      <c r="C9" s="17">
        <v>-9.5</v>
      </c>
      <c r="D9" s="16" t="s">
        <v>38</v>
      </c>
    </row>
    <row r="10" spans="3:4" ht="13.5" thickBot="1">
      <c r="C10" s="5" t="s">
        <v>21</v>
      </c>
      <c r="D10" s="5" t="s">
        <v>22</v>
      </c>
    </row>
    <row r="11" spans="1:7" ht="12.75">
      <c r="A11" s="16" t="s">
        <v>16</v>
      </c>
      <c r="B11" s="16"/>
      <c r="C11" s="18">
        <f ca="1">INTERCEPT(INDIRECT($G$11):G992,INDIRECT($F$11):F992)</f>
        <v>-0.003971954712072311</v>
      </c>
      <c r="D11" s="19"/>
      <c r="E11" s="16"/>
      <c r="F11" s="20" t="str">
        <f>"F"&amp;E19</f>
        <v>F21</v>
      </c>
      <c r="G11" s="21" t="str">
        <f>"G"&amp;E19</f>
        <v>G21</v>
      </c>
    </row>
    <row r="12" spans="1:5" ht="12.75">
      <c r="A12" s="16" t="s">
        <v>17</v>
      </c>
      <c r="B12" s="16"/>
      <c r="C12" s="18">
        <f ca="1">SLOPE(INDIRECT($G$11):G992,INDIRECT($F$11):F992)</f>
        <v>1.1942472948809288E-05</v>
      </c>
      <c r="D12" s="19"/>
      <c r="E12" s="16"/>
    </row>
    <row r="13" spans="1:5" ht="12.75">
      <c r="A13" s="16" t="s">
        <v>20</v>
      </c>
      <c r="B13" s="16"/>
      <c r="C13" s="19" t="s">
        <v>14</v>
      </c>
      <c r="D13" s="22" t="s">
        <v>39</v>
      </c>
      <c r="E13" s="17">
        <v>1</v>
      </c>
    </row>
    <row r="14" spans="1:5" ht="12.75">
      <c r="A14" s="16"/>
      <c r="B14" s="16"/>
      <c r="C14" s="16"/>
      <c r="D14" s="22" t="s">
        <v>40</v>
      </c>
      <c r="E14" s="23">
        <f ca="1">NOW()+15018.5+$C$9/24</f>
        <v>59906.79142708333</v>
      </c>
    </row>
    <row r="15" spans="1:5" ht="12.75">
      <c r="A15" s="24" t="s">
        <v>18</v>
      </c>
      <c r="B15" s="16"/>
      <c r="C15" s="25">
        <f>(C7+C11)+(C8+C12)*INT(MAX(F21:F3533))</f>
        <v>56076.852746226476</v>
      </c>
      <c r="D15" s="22" t="s">
        <v>41</v>
      </c>
      <c r="E15" s="23">
        <f>ROUND(2*(E14-$C$7)/$C$8,0)/2+E13</f>
        <v>14362</v>
      </c>
    </row>
    <row r="16" spans="1:5" ht="12.75">
      <c r="A16" s="26" t="s">
        <v>4</v>
      </c>
      <c r="B16" s="16"/>
      <c r="C16" s="27">
        <f>+C8+C12</f>
        <v>2.196131942472949</v>
      </c>
      <c r="D16" s="22" t="s">
        <v>42</v>
      </c>
      <c r="E16" s="21">
        <f>ROUND(2*(E14-$C$15)/$C$16,0)/2+E13</f>
        <v>1745</v>
      </c>
    </row>
    <row r="17" spans="1:5" ht="13.5" thickBot="1">
      <c r="A17" s="22" t="s">
        <v>33</v>
      </c>
      <c r="B17" s="16"/>
      <c r="C17" s="16">
        <f>COUNT(C21:C2191)</f>
        <v>11</v>
      </c>
      <c r="D17" s="22" t="s">
        <v>43</v>
      </c>
      <c r="E17" s="28">
        <f>+$C$15+$C$16*E16-15018.5-$C$9/24</f>
        <v>44890.99881917511</v>
      </c>
    </row>
    <row r="18" spans="1:5" ht="12.75">
      <c r="A18" s="26" t="s">
        <v>5</v>
      </c>
      <c r="B18" s="16"/>
      <c r="C18" s="29">
        <f>+C15</f>
        <v>56076.852746226476</v>
      </c>
      <c r="D18" s="30">
        <f>+C16</f>
        <v>2.196131942472949</v>
      </c>
      <c r="E18" s="31" t="s">
        <v>44</v>
      </c>
    </row>
    <row r="19" spans="1:5" ht="13.5" thickTop="1">
      <c r="A19" s="32" t="s">
        <v>45</v>
      </c>
      <c r="E19" s="33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s="47" t="s">
        <v>62</v>
      </c>
      <c r="B21" s="49" t="s">
        <v>36</v>
      </c>
      <c r="C21" s="48">
        <v>20308.4</v>
      </c>
      <c r="D21" s="11"/>
      <c r="E21">
        <f aca="true" t="shared" si="0" ref="E21:E31">+(C21-C$7)/C$8</f>
        <v>-3670.045352712965</v>
      </c>
      <c r="F21">
        <f aca="true" t="shared" si="1" ref="F21:F31">ROUND(2*E21,0)/2</f>
        <v>-3670</v>
      </c>
      <c r="G21">
        <f aca="true" t="shared" si="2" ref="G21:G31">+C21-(C$7+F21*C$8)</f>
        <v>-0.09959999999773572</v>
      </c>
      <c r="K21">
        <f aca="true" t="shared" si="3" ref="K21:K27">+G21</f>
        <v>-0.09959999999773572</v>
      </c>
      <c r="O21">
        <f aca="true" t="shared" si="4" ref="O21:O31">+C$11+C$12*$F21</f>
        <v>-0.0478008304342024</v>
      </c>
      <c r="Q21" s="2">
        <f aca="true" t="shared" si="5" ref="Q21:Q31">+C21-15018.5</f>
        <v>5289.9000000000015</v>
      </c>
    </row>
    <row r="22" spans="1:17" ht="12.75">
      <c r="A22" s="47" t="s">
        <v>62</v>
      </c>
      <c r="B22" s="49" t="s">
        <v>36</v>
      </c>
      <c r="C22" s="48">
        <v>20688.42</v>
      </c>
      <c r="D22" s="11"/>
      <c r="E22">
        <f t="shared" si="0"/>
        <v>-3497.0038067136584</v>
      </c>
      <c r="F22">
        <f t="shared" si="1"/>
        <v>-3497</v>
      </c>
      <c r="G22">
        <f t="shared" si="2"/>
        <v>-0.008359999999811407</v>
      </c>
      <c r="K22">
        <f t="shared" si="3"/>
        <v>-0.008359999999811407</v>
      </c>
      <c r="O22">
        <f t="shared" si="4"/>
        <v>-0.04573478261405839</v>
      </c>
      <c r="Q22" s="2">
        <f t="shared" si="5"/>
        <v>5669.919999999998</v>
      </c>
    </row>
    <row r="23" spans="1:17" ht="12.75">
      <c r="A23" s="47" t="s">
        <v>71</v>
      </c>
      <c r="B23" s="49" t="s">
        <v>36</v>
      </c>
      <c r="C23" s="48">
        <v>25098.238</v>
      </c>
      <c r="D23" s="11"/>
      <c r="E23">
        <f t="shared" si="0"/>
        <v>-1488.9996903630026</v>
      </c>
      <c r="F23">
        <f t="shared" si="1"/>
        <v>-1489</v>
      </c>
      <c r="G23">
        <f t="shared" si="2"/>
        <v>0.0006800000010116491</v>
      </c>
      <c r="K23">
        <f t="shared" si="3"/>
        <v>0.0006800000010116491</v>
      </c>
      <c r="O23">
        <f t="shared" si="4"/>
        <v>-0.021754296932849342</v>
      </c>
      <c r="Q23" s="2">
        <f t="shared" si="5"/>
        <v>10079.738000000001</v>
      </c>
    </row>
    <row r="24" spans="1:17" ht="12.75">
      <c r="A24" s="47" t="s">
        <v>76</v>
      </c>
      <c r="B24" s="49" t="s">
        <v>36</v>
      </c>
      <c r="C24" s="48">
        <v>25111.389</v>
      </c>
      <c r="D24" s="11"/>
      <c r="E24">
        <f t="shared" si="0"/>
        <v>-1483.0114019270345</v>
      </c>
      <c r="F24">
        <f t="shared" si="1"/>
        <v>-1483</v>
      </c>
      <c r="G24">
        <f t="shared" si="2"/>
        <v>-0.025040000000444707</v>
      </c>
      <c r="K24">
        <f t="shared" si="3"/>
        <v>-0.025040000000444707</v>
      </c>
      <c r="O24">
        <f t="shared" si="4"/>
        <v>-0.021682642095156485</v>
      </c>
      <c r="Q24" s="2">
        <f t="shared" si="5"/>
        <v>10092.889</v>
      </c>
    </row>
    <row r="25" spans="1:17" ht="12.75">
      <c r="A25" s="47" t="s">
        <v>80</v>
      </c>
      <c r="B25" s="49" t="s">
        <v>36</v>
      </c>
      <c r="C25" s="48">
        <v>25882.229</v>
      </c>
      <c r="D25" s="11"/>
      <c r="E25">
        <f t="shared" si="0"/>
        <v>-1132.0105458718099</v>
      </c>
      <c r="F25">
        <f t="shared" si="1"/>
        <v>-1132</v>
      </c>
      <c r="G25">
        <f t="shared" si="2"/>
        <v>-0.023159999997005798</v>
      </c>
      <c r="K25">
        <f t="shared" si="3"/>
        <v>-0.023159999997005798</v>
      </c>
      <c r="O25">
        <f t="shared" si="4"/>
        <v>-0.017490834090124426</v>
      </c>
      <c r="Q25" s="2">
        <f t="shared" si="5"/>
        <v>10863.729</v>
      </c>
    </row>
    <row r="26" spans="1:17" ht="12.75">
      <c r="A26" s="47" t="s">
        <v>80</v>
      </c>
      <c r="B26" s="49" t="s">
        <v>36</v>
      </c>
      <c r="C26" s="48">
        <v>26510.334</v>
      </c>
      <c r="D26" s="11"/>
      <c r="E26">
        <f t="shared" si="0"/>
        <v>-846.0038613554813</v>
      </c>
      <c r="F26">
        <f t="shared" si="1"/>
        <v>-846</v>
      </c>
      <c r="G26">
        <f t="shared" si="2"/>
        <v>-0.008480000000417931</v>
      </c>
      <c r="K26">
        <f t="shared" si="3"/>
        <v>-0.008480000000417931</v>
      </c>
      <c r="O26">
        <f t="shared" si="4"/>
        <v>-0.014075286826764968</v>
      </c>
      <c r="Q26" s="2">
        <f t="shared" si="5"/>
        <v>11491.833999999999</v>
      </c>
    </row>
    <row r="27" spans="1:17" ht="12.75">
      <c r="A27" s="47" t="s">
        <v>80</v>
      </c>
      <c r="B27" s="49" t="s">
        <v>36</v>
      </c>
      <c r="C27" s="48">
        <v>28359.472</v>
      </c>
      <c r="D27" s="11"/>
      <c r="E27">
        <f t="shared" si="0"/>
        <v>-4.001602826802191</v>
      </c>
      <c r="F27">
        <f t="shared" si="1"/>
        <v>-4</v>
      </c>
      <c r="G27">
        <f t="shared" si="2"/>
        <v>-0.003519999998388812</v>
      </c>
      <c r="K27">
        <f t="shared" si="3"/>
        <v>-0.003519999998388812</v>
      </c>
      <c r="O27">
        <f t="shared" si="4"/>
        <v>-0.004019724603867548</v>
      </c>
      <c r="Q27" s="2">
        <f t="shared" si="5"/>
        <v>13340.972000000002</v>
      </c>
    </row>
    <row r="28" spans="1:17" ht="12.75">
      <c r="A28" t="s">
        <v>12</v>
      </c>
      <c r="C28" s="11">
        <v>28368.26</v>
      </c>
      <c r="D28" s="11" t="s">
        <v>14</v>
      </c>
      <c r="E28">
        <f t="shared" si="0"/>
        <v>0</v>
      </c>
      <c r="F28">
        <f t="shared" si="1"/>
        <v>0</v>
      </c>
      <c r="G28">
        <f t="shared" si="2"/>
        <v>0</v>
      </c>
      <c r="H28">
        <f>+G28</f>
        <v>0</v>
      </c>
      <c r="O28">
        <f t="shared" si="4"/>
        <v>-0.003971954712072311</v>
      </c>
      <c r="Q28" s="2">
        <f t="shared" si="5"/>
        <v>13349.759999999998</v>
      </c>
    </row>
    <row r="29" spans="1:17" ht="12.75">
      <c r="A29" s="47" t="s">
        <v>80</v>
      </c>
      <c r="B29" s="49" t="s">
        <v>36</v>
      </c>
      <c r="C29" s="48">
        <v>28370.449</v>
      </c>
      <c r="D29" s="11"/>
      <c r="E29">
        <f t="shared" si="0"/>
        <v>0.9967579185117956</v>
      </c>
      <c r="F29">
        <f t="shared" si="1"/>
        <v>1</v>
      </c>
      <c r="G29">
        <f t="shared" si="2"/>
        <v>-0.007119999998394633</v>
      </c>
      <c r="K29">
        <f>+G29</f>
        <v>-0.007119999998394633</v>
      </c>
      <c r="O29">
        <f t="shared" si="4"/>
        <v>-0.003960012239123501</v>
      </c>
      <c r="Q29" s="2">
        <f t="shared" si="5"/>
        <v>13351.949</v>
      </c>
    </row>
    <row r="30" spans="1:17" ht="12.75">
      <c r="A30" s="9" t="s">
        <v>32</v>
      </c>
      <c r="B30" s="10"/>
      <c r="C30" s="12">
        <v>38290.375</v>
      </c>
      <c r="D30" s="11"/>
      <c r="E30">
        <f t="shared" si="0"/>
        <v>4518.020417827806</v>
      </c>
      <c r="F30">
        <f t="shared" si="1"/>
        <v>4518</v>
      </c>
      <c r="G30">
        <f t="shared" si="2"/>
        <v>0.04484000000229571</v>
      </c>
      <c r="I30">
        <f>+G30</f>
        <v>0.04484000000229571</v>
      </c>
      <c r="O30">
        <f t="shared" si="4"/>
        <v>0.049984138070648054</v>
      </c>
      <c r="Q30" s="2">
        <f t="shared" si="5"/>
        <v>23271.875</v>
      </c>
    </row>
    <row r="31" spans="1:17" ht="12.75">
      <c r="A31" s="13" t="s">
        <v>35</v>
      </c>
      <c r="B31" s="14" t="s">
        <v>36</v>
      </c>
      <c r="C31" s="13">
        <v>56076.852</v>
      </c>
      <c r="D31" s="13">
        <v>0.0006</v>
      </c>
      <c r="E31">
        <f t="shared" si="0"/>
        <v>12617.066462670527</v>
      </c>
      <c r="F31">
        <f t="shared" si="1"/>
        <v>12617</v>
      </c>
      <c r="G31">
        <f t="shared" si="2"/>
        <v>0.1459599999943748</v>
      </c>
      <c r="I31">
        <f>+G31</f>
        <v>0.1459599999943748</v>
      </c>
      <c r="O31">
        <f t="shared" si="4"/>
        <v>0.14670622648305448</v>
      </c>
      <c r="Q31" s="2">
        <f t="shared" si="5"/>
        <v>41058.352</v>
      </c>
    </row>
    <row r="32" spans="3:17" ht="12.75">
      <c r="C32" s="11"/>
      <c r="D32" s="11"/>
      <c r="Q32" s="2"/>
    </row>
    <row r="33" spans="3:17" ht="12.75">
      <c r="C33" s="11"/>
      <c r="D33" s="11"/>
      <c r="Q33" s="2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1">
      <selection activeCell="A12" sqref="A12:C19"/>
    </sheetView>
  </sheetViews>
  <sheetFormatPr defaultColWidth="9.140625" defaultRowHeight="12.75"/>
  <cols>
    <col min="1" max="1" width="19.7109375" style="11" customWidth="1"/>
    <col min="2" max="2" width="4.421875" style="16" customWidth="1"/>
    <col min="3" max="3" width="12.7109375" style="1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4" t="s">
        <v>46</v>
      </c>
      <c r="I1" s="35" t="s">
        <v>47</v>
      </c>
      <c r="J1" s="36" t="s">
        <v>48</v>
      </c>
    </row>
    <row r="2" spans="9:10" ht="12.75">
      <c r="I2" s="37" t="s">
        <v>49</v>
      </c>
      <c r="J2" s="38" t="s">
        <v>50</v>
      </c>
    </row>
    <row r="3" spans="1:10" ht="12.75">
      <c r="A3" s="39" t="s">
        <v>51</v>
      </c>
      <c r="I3" s="37" t="s">
        <v>52</v>
      </c>
      <c r="J3" s="38" t="s">
        <v>53</v>
      </c>
    </row>
    <row r="4" spans="9:10" ht="12.75">
      <c r="I4" s="37" t="s">
        <v>54</v>
      </c>
      <c r="J4" s="38" t="s">
        <v>53</v>
      </c>
    </row>
    <row r="5" spans="9:10" ht="13.5" thickBot="1">
      <c r="I5" s="40" t="s">
        <v>55</v>
      </c>
      <c r="J5" s="41" t="s">
        <v>56</v>
      </c>
    </row>
    <row r="10" ht="13.5" thickBot="1"/>
    <row r="11" spans="1:16" ht="12.75" customHeight="1" thickBot="1">
      <c r="A11" s="11" t="str">
        <f aca="true" t="shared" si="0" ref="A11:A19">P11</f>
        <v>IBVS 6029 </v>
      </c>
      <c r="B11" s="19" t="str">
        <f aca="true" t="shared" si="1" ref="B11:B19">IF(H11=INT(H11),"I","II")</f>
        <v>I</v>
      </c>
      <c r="C11" s="11">
        <f aca="true" t="shared" si="2" ref="C11:C19">1*G11</f>
        <v>56076.852</v>
      </c>
      <c r="D11" s="16" t="str">
        <f aca="true" t="shared" si="3" ref="D11:D19">VLOOKUP(F11,I$1:J$5,2,FALSE)</f>
        <v>vis</v>
      </c>
      <c r="E11" s="42">
        <f>VLOOKUP(C11,A!C$21:E$973,3,FALSE)</f>
        <v>12617.066462670527</v>
      </c>
      <c r="F11" s="19" t="s">
        <v>55</v>
      </c>
      <c r="G11" s="16" t="str">
        <f aca="true" t="shared" si="4" ref="G11:G19">MID(I11,3,LEN(I11)-3)</f>
        <v>56076.8520</v>
      </c>
      <c r="H11" s="11">
        <f aca="true" t="shared" si="5" ref="H11:H19">1*K11</f>
        <v>12617</v>
      </c>
      <c r="I11" s="43" t="s">
        <v>90</v>
      </c>
      <c r="J11" s="44" t="s">
        <v>91</v>
      </c>
      <c r="K11" s="43">
        <v>12617</v>
      </c>
      <c r="L11" s="43" t="s">
        <v>92</v>
      </c>
      <c r="M11" s="44" t="s">
        <v>93</v>
      </c>
      <c r="N11" s="44" t="s">
        <v>55</v>
      </c>
      <c r="O11" s="45" t="s">
        <v>94</v>
      </c>
      <c r="P11" s="46" t="s">
        <v>95</v>
      </c>
    </row>
    <row r="12" spans="1:16" ht="12.75" customHeight="1" thickBot="1">
      <c r="A12" s="11" t="str">
        <f t="shared" si="0"/>
        <v> HB 821 </v>
      </c>
      <c r="B12" s="19" t="str">
        <f t="shared" si="1"/>
        <v>I</v>
      </c>
      <c r="C12" s="11">
        <f t="shared" si="2"/>
        <v>20308.4</v>
      </c>
      <c r="D12" s="16" t="str">
        <f t="shared" si="3"/>
        <v>vis</v>
      </c>
      <c r="E12" s="42">
        <f>VLOOKUP(C12,A!C$21:E$973,3,FALSE)</f>
        <v>-3670.045352712965</v>
      </c>
      <c r="F12" s="19" t="s">
        <v>55</v>
      </c>
      <c r="G12" s="16" t="str">
        <f t="shared" si="4"/>
        <v>20308.40</v>
      </c>
      <c r="H12" s="11">
        <f t="shared" si="5"/>
        <v>-3670</v>
      </c>
      <c r="I12" s="43" t="s">
        <v>57</v>
      </c>
      <c r="J12" s="44" t="s">
        <v>58</v>
      </c>
      <c r="K12" s="43">
        <v>-3670</v>
      </c>
      <c r="L12" s="43" t="s">
        <v>59</v>
      </c>
      <c r="M12" s="44" t="s">
        <v>60</v>
      </c>
      <c r="N12" s="44"/>
      <c r="O12" s="45" t="s">
        <v>61</v>
      </c>
      <c r="P12" s="45" t="s">
        <v>62</v>
      </c>
    </row>
    <row r="13" spans="1:16" ht="12.75" customHeight="1" thickBot="1">
      <c r="A13" s="11" t="str">
        <f t="shared" si="0"/>
        <v> HB 821 </v>
      </c>
      <c r="B13" s="19" t="str">
        <f t="shared" si="1"/>
        <v>I</v>
      </c>
      <c r="C13" s="11">
        <f t="shared" si="2"/>
        <v>20688.42</v>
      </c>
      <c r="D13" s="16" t="str">
        <f t="shared" si="3"/>
        <v>vis</v>
      </c>
      <c r="E13" s="42">
        <f>VLOOKUP(C13,A!C$21:E$973,3,FALSE)</f>
        <v>-3497.0038067136584</v>
      </c>
      <c r="F13" s="19" t="s">
        <v>55</v>
      </c>
      <c r="G13" s="16" t="str">
        <f t="shared" si="4"/>
        <v>20688.42</v>
      </c>
      <c r="H13" s="11">
        <f t="shared" si="5"/>
        <v>-3497</v>
      </c>
      <c r="I13" s="43" t="s">
        <v>63</v>
      </c>
      <c r="J13" s="44" t="s">
        <v>64</v>
      </c>
      <c r="K13" s="43">
        <v>-3497</v>
      </c>
      <c r="L13" s="43" t="s">
        <v>65</v>
      </c>
      <c r="M13" s="44" t="s">
        <v>60</v>
      </c>
      <c r="N13" s="44"/>
      <c r="O13" s="45" t="s">
        <v>61</v>
      </c>
      <c r="P13" s="45" t="s">
        <v>62</v>
      </c>
    </row>
    <row r="14" spans="1:16" ht="12.75" customHeight="1" thickBot="1">
      <c r="A14" s="11" t="str">
        <f t="shared" si="0"/>
        <v> IODE 4.2.359 </v>
      </c>
      <c r="B14" s="19" t="str">
        <f t="shared" si="1"/>
        <v>I</v>
      </c>
      <c r="C14" s="11">
        <f t="shared" si="2"/>
        <v>25098.238</v>
      </c>
      <c r="D14" s="16" t="str">
        <f t="shared" si="3"/>
        <v>vis</v>
      </c>
      <c r="E14" s="42">
        <f>VLOOKUP(C14,A!C$21:E$973,3,FALSE)</f>
        <v>-1488.9996903630026</v>
      </c>
      <c r="F14" s="19" t="s">
        <v>55</v>
      </c>
      <c r="G14" s="16" t="str">
        <f t="shared" si="4"/>
        <v>25098.238</v>
      </c>
      <c r="H14" s="11">
        <f t="shared" si="5"/>
        <v>-1489</v>
      </c>
      <c r="I14" s="43" t="s">
        <v>66</v>
      </c>
      <c r="J14" s="44" t="s">
        <v>67</v>
      </c>
      <c r="K14" s="43">
        <v>-1489</v>
      </c>
      <c r="L14" s="43" t="s">
        <v>68</v>
      </c>
      <c r="M14" s="44" t="s">
        <v>69</v>
      </c>
      <c r="N14" s="44"/>
      <c r="O14" s="45" t="s">
        <v>70</v>
      </c>
      <c r="P14" s="45" t="s">
        <v>71</v>
      </c>
    </row>
    <row r="15" spans="1:16" ht="12.75" customHeight="1" thickBot="1">
      <c r="A15" s="11" t="str">
        <f t="shared" si="0"/>
        <v> AAC 1.164 </v>
      </c>
      <c r="B15" s="19" t="str">
        <f t="shared" si="1"/>
        <v>I</v>
      </c>
      <c r="C15" s="11">
        <f t="shared" si="2"/>
        <v>25111.389</v>
      </c>
      <c r="D15" s="16" t="str">
        <f t="shared" si="3"/>
        <v>vis</v>
      </c>
      <c r="E15" s="42">
        <f>VLOOKUP(C15,A!C$21:E$973,3,FALSE)</f>
        <v>-1483.0114019270345</v>
      </c>
      <c r="F15" s="19" t="s">
        <v>55</v>
      </c>
      <c r="G15" s="16" t="str">
        <f t="shared" si="4"/>
        <v>25111.389</v>
      </c>
      <c r="H15" s="11">
        <f t="shared" si="5"/>
        <v>-1483</v>
      </c>
      <c r="I15" s="43" t="s">
        <v>72</v>
      </c>
      <c r="J15" s="44" t="s">
        <v>73</v>
      </c>
      <c r="K15" s="43">
        <v>-1483</v>
      </c>
      <c r="L15" s="43" t="s">
        <v>74</v>
      </c>
      <c r="M15" s="44" t="s">
        <v>69</v>
      </c>
      <c r="N15" s="44"/>
      <c r="O15" s="45" t="s">
        <v>75</v>
      </c>
      <c r="P15" s="45" t="s">
        <v>76</v>
      </c>
    </row>
    <row r="16" spans="1:16" ht="12.75" customHeight="1" thickBot="1">
      <c r="A16" s="11" t="str">
        <f t="shared" si="0"/>
        <v> AA 26.343 </v>
      </c>
      <c r="B16" s="19" t="str">
        <f t="shared" si="1"/>
        <v>I</v>
      </c>
      <c r="C16" s="11">
        <f t="shared" si="2"/>
        <v>25882.229</v>
      </c>
      <c r="D16" s="16" t="str">
        <f t="shared" si="3"/>
        <v>vis</v>
      </c>
      <c r="E16" s="42">
        <f>VLOOKUP(C16,A!C$21:E$973,3,FALSE)</f>
        <v>-1132.0105458718099</v>
      </c>
      <c r="F16" s="19" t="s">
        <v>55</v>
      </c>
      <c r="G16" s="16" t="str">
        <f t="shared" si="4"/>
        <v>25882.229</v>
      </c>
      <c r="H16" s="11">
        <f t="shared" si="5"/>
        <v>-1132</v>
      </c>
      <c r="I16" s="43" t="s">
        <v>77</v>
      </c>
      <c r="J16" s="44" t="s">
        <v>78</v>
      </c>
      <c r="K16" s="43">
        <v>-1132</v>
      </c>
      <c r="L16" s="43" t="s">
        <v>79</v>
      </c>
      <c r="M16" s="44" t="s">
        <v>69</v>
      </c>
      <c r="N16" s="44"/>
      <c r="O16" s="45" t="s">
        <v>75</v>
      </c>
      <c r="P16" s="45" t="s">
        <v>80</v>
      </c>
    </row>
    <row r="17" spans="1:16" ht="12.75" customHeight="1" thickBot="1">
      <c r="A17" s="11" t="str">
        <f t="shared" si="0"/>
        <v> AA 26.343 </v>
      </c>
      <c r="B17" s="19" t="str">
        <f t="shared" si="1"/>
        <v>I</v>
      </c>
      <c r="C17" s="11">
        <f t="shared" si="2"/>
        <v>26510.334</v>
      </c>
      <c r="D17" s="16" t="str">
        <f t="shared" si="3"/>
        <v>vis</v>
      </c>
      <c r="E17" s="42">
        <f>VLOOKUP(C17,A!C$21:E$973,3,FALSE)</f>
        <v>-846.0038613554813</v>
      </c>
      <c r="F17" s="19" t="s">
        <v>55</v>
      </c>
      <c r="G17" s="16" t="str">
        <f t="shared" si="4"/>
        <v>26510.334</v>
      </c>
      <c r="H17" s="11">
        <f t="shared" si="5"/>
        <v>-846</v>
      </c>
      <c r="I17" s="43" t="s">
        <v>81</v>
      </c>
      <c r="J17" s="44" t="s">
        <v>82</v>
      </c>
      <c r="K17" s="43">
        <v>-846</v>
      </c>
      <c r="L17" s="43" t="s">
        <v>83</v>
      </c>
      <c r="M17" s="44" t="s">
        <v>69</v>
      </c>
      <c r="N17" s="44"/>
      <c r="O17" s="45" t="s">
        <v>75</v>
      </c>
      <c r="P17" s="45" t="s">
        <v>80</v>
      </c>
    </row>
    <row r="18" spans="1:16" ht="12.75" customHeight="1" thickBot="1">
      <c r="A18" s="11" t="str">
        <f t="shared" si="0"/>
        <v> AA 26.343 </v>
      </c>
      <c r="B18" s="19" t="str">
        <f t="shared" si="1"/>
        <v>I</v>
      </c>
      <c r="C18" s="11">
        <f t="shared" si="2"/>
        <v>28359.472</v>
      </c>
      <c r="D18" s="16" t="str">
        <f t="shared" si="3"/>
        <v>vis</v>
      </c>
      <c r="E18" s="42">
        <f>VLOOKUP(C18,A!C$21:E$973,3,FALSE)</f>
        <v>-4.001602826802191</v>
      </c>
      <c r="F18" s="19" t="s">
        <v>55</v>
      </c>
      <c r="G18" s="16" t="str">
        <f t="shared" si="4"/>
        <v>28359.472</v>
      </c>
      <c r="H18" s="11">
        <f t="shared" si="5"/>
        <v>-4</v>
      </c>
      <c r="I18" s="43" t="s">
        <v>84</v>
      </c>
      <c r="J18" s="44" t="s">
        <v>85</v>
      </c>
      <c r="K18" s="43">
        <v>-4</v>
      </c>
      <c r="L18" s="43" t="s">
        <v>86</v>
      </c>
      <c r="M18" s="44" t="s">
        <v>69</v>
      </c>
      <c r="N18" s="44"/>
      <c r="O18" s="45" t="s">
        <v>75</v>
      </c>
      <c r="P18" s="45" t="s">
        <v>80</v>
      </c>
    </row>
    <row r="19" spans="1:16" ht="12.75" customHeight="1" thickBot="1">
      <c r="A19" s="11" t="str">
        <f t="shared" si="0"/>
        <v> AA 26.343 </v>
      </c>
      <c r="B19" s="19" t="str">
        <f t="shared" si="1"/>
        <v>I</v>
      </c>
      <c r="C19" s="11">
        <f t="shared" si="2"/>
        <v>28370.449</v>
      </c>
      <c r="D19" s="16" t="str">
        <f t="shared" si="3"/>
        <v>vis</v>
      </c>
      <c r="E19" s="42">
        <f>VLOOKUP(C19,A!C$21:E$973,3,FALSE)</f>
        <v>0.9967579185117956</v>
      </c>
      <c r="F19" s="19" t="s">
        <v>55</v>
      </c>
      <c r="G19" s="16" t="str">
        <f t="shared" si="4"/>
        <v>28370.449</v>
      </c>
      <c r="H19" s="11">
        <f t="shared" si="5"/>
        <v>1</v>
      </c>
      <c r="I19" s="43" t="s">
        <v>87</v>
      </c>
      <c r="J19" s="44" t="s">
        <v>88</v>
      </c>
      <c r="K19" s="43">
        <v>1</v>
      </c>
      <c r="L19" s="43" t="s">
        <v>89</v>
      </c>
      <c r="M19" s="44" t="s">
        <v>69</v>
      </c>
      <c r="N19" s="44"/>
      <c r="O19" s="45" t="s">
        <v>75</v>
      </c>
      <c r="P19" s="45" t="s">
        <v>80</v>
      </c>
    </row>
    <row r="20" spans="2:6" ht="12.75">
      <c r="B20" s="19"/>
      <c r="E20" s="42"/>
      <c r="F20" s="19"/>
    </row>
    <row r="21" spans="2:6" ht="12.75">
      <c r="B21" s="19"/>
      <c r="E21" s="42"/>
      <c r="F21" s="19"/>
    </row>
    <row r="22" spans="2:6" ht="12.75">
      <c r="B22" s="19"/>
      <c r="E22" s="42"/>
      <c r="F22" s="19"/>
    </row>
    <row r="23" spans="2:6" ht="12.75">
      <c r="B23" s="19"/>
      <c r="E23" s="42"/>
      <c r="F23" s="19"/>
    </row>
    <row r="24" spans="2:6" ht="12.75">
      <c r="B24" s="19"/>
      <c r="E24" s="42"/>
      <c r="F24" s="19"/>
    </row>
    <row r="25" spans="2:6" ht="12.75">
      <c r="B25" s="19"/>
      <c r="E25" s="42"/>
      <c r="F25" s="19"/>
    </row>
    <row r="26" spans="2:6" ht="12.75">
      <c r="B26" s="19"/>
      <c r="E26" s="42"/>
      <c r="F26" s="19"/>
    </row>
    <row r="27" spans="2:6" ht="12.75">
      <c r="B27" s="19"/>
      <c r="E27" s="42"/>
      <c r="F27" s="19"/>
    </row>
    <row r="28" spans="2:6" ht="12.75">
      <c r="B28" s="19"/>
      <c r="E28" s="42"/>
      <c r="F28" s="19"/>
    </row>
    <row r="29" spans="2:6" ht="12.75">
      <c r="B29" s="19"/>
      <c r="E29" s="42"/>
      <c r="F29" s="19"/>
    </row>
    <row r="30" spans="2:6" ht="12.75">
      <c r="B30" s="19"/>
      <c r="E30" s="42"/>
      <c r="F30" s="19"/>
    </row>
    <row r="31" spans="2:6" ht="12.75">
      <c r="B31" s="19"/>
      <c r="E31" s="42"/>
      <c r="F31" s="19"/>
    </row>
    <row r="32" spans="2:6" ht="12.75">
      <c r="B32" s="19"/>
      <c r="E32" s="42"/>
      <c r="F32" s="19"/>
    </row>
    <row r="33" spans="2:6" ht="12.75">
      <c r="B33" s="19"/>
      <c r="E33" s="42"/>
      <c r="F33" s="19"/>
    </row>
    <row r="34" spans="2:6" ht="12.75">
      <c r="B34" s="19"/>
      <c r="E34" s="42"/>
      <c r="F34" s="19"/>
    </row>
    <row r="35" spans="2:6" ht="12.75">
      <c r="B35" s="19"/>
      <c r="E35" s="42"/>
      <c r="F35" s="19"/>
    </row>
    <row r="36" spans="2:6" ht="12.75">
      <c r="B36" s="19"/>
      <c r="F36" s="19"/>
    </row>
    <row r="37" spans="2:6" ht="12.75">
      <c r="B37" s="19"/>
      <c r="F37" s="19"/>
    </row>
    <row r="38" spans="2:6" ht="12.75">
      <c r="B38" s="19"/>
      <c r="F38" s="19"/>
    </row>
    <row r="39" spans="2:6" ht="12.75">
      <c r="B39" s="19"/>
      <c r="F39" s="19"/>
    </row>
    <row r="40" spans="2:6" ht="12.75">
      <c r="B40" s="19"/>
      <c r="F40" s="19"/>
    </row>
    <row r="41" spans="2:6" ht="12.75">
      <c r="B41" s="19"/>
      <c r="F41" s="19"/>
    </row>
    <row r="42" spans="2:6" ht="12.75">
      <c r="B42" s="19"/>
      <c r="F42" s="19"/>
    </row>
    <row r="43" spans="2:6" ht="12.75">
      <c r="B43" s="19"/>
      <c r="F43" s="19"/>
    </row>
    <row r="44" spans="2:6" ht="12.75">
      <c r="B44" s="19"/>
      <c r="F44" s="19"/>
    </row>
    <row r="45" spans="2:6" ht="12.75">
      <c r="B45" s="19"/>
      <c r="F45" s="19"/>
    </row>
    <row r="46" spans="2:6" ht="12.75">
      <c r="B46" s="19"/>
      <c r="F46" s="19"/>
    </row>
    <row r="47" spans="2:6" ht="12.75">
      <c r="B47" s="19"/>
      <c r="F47" s="19"/>
    </row>
    <row r="48" spans="2:6" ht="12.75">
      <c r="B48" s="19"/>
      <c r="F48" s="19"/>
    </row>
    <row r="49" spans="2:6" ht="12.75">
      <c r="B49" s="19"/>
      <c r="F49" s="19"/>
    </row>
    <row r="50" spans="2:6" ht="12.75">
      <c r="B50" s="19"/>
      <c r="F50" s="19"/>
    </row>
    <row r="51" spans="2:6" ht="12.75">
      <c r="B51" s="19"/>
      <c r="F51" s="19"/>
    </row>
    <row r="52" spans="2:6" ht="12.75">
      <c r="B52" s="19"/>
      <c r="F52" s="19"/>
    </row>
    <row r="53" spans="2:6" ht="12.75">
      <c r="B53" s="19"/>
      <c r="F53" s="19"/>
    </row>
    <row r="54" spans="2:6" ht="12.75">
      <c r="B54" s="19"/>
      <c r="F54" s="19"/>
    </row>
    <row r="55" spans="2:6" ht="12.75">
      <c r="B55" s="19"/>
      <c r="F55" s="19"/>
    </row>
    <row r="56" spans="2:6" ht="12.75">
      <c r="B56" s="19"/>
      <c r="F56" s="19"/>
    </row>
    <row r="57" spans="2:6" ht="12.75">
      <c r="B57" s="19"/>
      <c r="F57" s="19"/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</sheetData>
  <sheetProtection/>
  <hyperlinks>
    <hyperlink ref="P11" r:id="rId1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