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<sst xmlns="http://schemas.openxmlformats.org/spreadsheetml/2006/main" count="53" uniqueCount="50">
  <si>
    <t>V0554 Ser / GSC 5113-1089</t>
  </si>
  <si>
    <t>System Type:</t>
  </si>
  <si>
    <t>EA</t>
  </si>
  <si>
    <t>GCVS 4 Eph.</t>
  </si>
  <si>
    <t>--- Working ----</t>
  </si>
  <si>
    <t>Epoch =</t>
  </si>
  <si>
    <t>GCVS</t>
  </si>
  <si>
    <t>Period =</t>
  </si>
  <si>
    <t>My time zone &gt;&gt;&gt;&gt;&gt;</t>
  </si>
  <si>
    <t>(PST=8, PDT=MDT=7, MDT=CST=6, etc.)</t>
  </si>
  <si>
    <t>Linear</t>
  </si>
  <si>
    <t>Quadratic</t>
  </si>
  <si>
    <t>LS Intercept =</t>
  </si>
  <si>
    <t>LS Slope =</t>
  </si>
  <si>
    <t>LS Quadr term =</t>
  </si>
  <si>
    <t>na</t>
  </si>
  <si>
    <t>Add cycle</t>
  </si>
  <si>
    <t>JD today</t>
  </si>
  <si>
    <t>New epoch =</t>
  </si>
  <si>
    <t>Old Cycle</t>
  </si>
  <si>
    <t>New Period =</t>
  </si>
  <si>
    <t>New Cycle</t>
  </si>
  <si>
    <t># of data points:</t>
  </si>
  <si>
    <t>Next ToM</t>
  </si>
  <si>
    <t>New Ephemeris =</t>
  </si>
  <si>
    <t>Local time</t>
  </si>
  <si>
    <t>Start of linear fit &gt;&gt;&gt;&gt;&gt;&gt;&gt;&gt;&gt;&gt;&gt;&gt;&gt;&gt;&gt;&gt;&gt;&gt;&gt;&gt;&gt;</t>
  </si>
  <si>
    <t>Source</t>
  </si>
  <si>
    <t>Typ</t>
  </si>
  <si>
    <t>ToM</t>
  </si>
  <si>
    <t>error</t>
  </si>
  <si>
    <t>n'</t>
  </si>
  <si>
    <t>n</t>
  </si>
  <si>
    <t>O-C</t>
  </si>
  <si>
    <t>VSX</t>
  </si>
  <si>
    <t>IBVS</t>
  </si>
  <si>
    <t>S3</t>
  </si>
  <si>
    <t>S4</t>
  </si>
  <si>
    <t>S5</t>
  </si>
  <si>
    <t>S6</t>
  </si>
  <si>
    <t>Misc</t>
  </si>
  <si>
    <t>Lin Fit</t>
  </si>
  <si>
    <t>Q. Fit</t>
  </si>
  <si>
    <t>Date</t>
  </si>
  <si>
    <t>BAD</t>
  </si>
  <si>
    <t>GCVS 4</t>
  </si>
  <si>
    <t>IBVS 6118</t>
  </si>
  <si>
    <t>I</t>
  </si>
  <si>
    <t>OEJV 0211</t>
  </si>
  <si>
    <t>II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</si>
</sst>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\$#,##0_);&quot;($&quot;#,##0\)"/>
    <numFmt numFmtId="165" formatCode="m/d/yyyy\ h:mm"/>
    <numFmt numFmtId="166" formatCode="m/d/yyyy"/>
    <numFmt numFmtId="167" formatCode="dd/mm/yyyy"/>
  </numFmts>
  <fonts count="49">
    <font>
      <sz val="10"/>
      <name val="Arial"/>
      <family val="2"/>
    </font>
    <font>
      <sz val="16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4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6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6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3" fontId="0" fillId="0" borderId="0" applyFill="0" applyBorder="0" applyProtection="0">
      <alignment vertical="top"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Protection="0">
      <alignment vertical="top"/>
    </xf>
    <xf numFmtId="0" fontId="0" fillId="0" borderId="0" applyFill="0" applyBorder="0" applyProtection="0">
      <alignment vertical="top"/>
    </xf>
    <xf numFmtId="0" fontId="37" fillId="0" borderId="0" applyNumberFormat="0" applyFill="0" applyBorder="0" applyAlignment="0" applyProtection="0"/>
    <xf numFmtId="2" fontId="0" fillId="0" borderId="0" applyFill="0" applyBorder="0" applyProtection="0">
      <alignment vertical="top"/>
    </xf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8">
    <xf numFmtId="0" fontId="0" fillId="0" borderId="0" xfId="0" applyAlignment="1">
      <alignment vertical="top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0" fillId="0" borderId="13" xfId="0" applyFont="1" applyBorder="1" applyAlignment="1">
      <alignment horizontal="center"/>
    </xf>
    <xf numFmtId="0" fontId="8" fillId="0" borderId="0" xfId="0" applyFont="1" applyAlignment="1">
      <alignment vertical="top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165" fontId="8" fillId="0" borderId="0" xfId="0" applyNumberFormat="1" applyFont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8" fillId="0" borderId="0" xfId="0" applyFont="1" applyAlignment="1">
      <alignment horizontal="right"/>
    </xf>
    <xf numFmtId="0" fontId="5" fillId="0" borderId="0" xfId="0" applyFont="1" applyAlignment="1">
      <alignment vertical="top"/>
    </xf>
    <xf numFmtId="0" fontId="7" fillId="0" borderId="0" xfId="0" applyFont="1" applyAlignment="1">
      <alignment horizontal="left"/>
    </xf>
    <xf numFmtId="0" fontId="4" fillId="0" borderId="13" xfId="0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11" fillId="0" borderId="0" xfId="59" applyFont="1">
      <alignment/>
      <protection/>
    </xf>
    <xf numFmtId="0" fontId="11" fillId="0" borderId="0" xfId="59" applyFont="1" applyAlignment="1">
      <alignment horizontal="center"/>
      <protection/>
    </xf>
    <xf numFmtId="0" fontId="11" fillId="0" borderId="0" xfId="59" applyFont="1" applyAlignment="1">
      <alignment horizontal="left"/>
      <protection/>
    </xf>
    <xf numFmtId="167" fontId="0" fillId="0" borderId="0" xfId="0" applyNumberFormat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_A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CCC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V554 Ser - O-C Diagr.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18775"/>
          <c:w val="0.90675"/>
          <c:h val="0.686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A!$F$21:$F$24</c:f>
              <c:numCache/>
            </c:numRef>
          </c:xVal>
          <c:yVal>
            <c:numRef>
              <c:f>A!$H$21:$H$24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A!$F$21:$F$24</c:f>
              <c:numCache/>
            </c:numRef>
          </c:xVal>
          <c:yVal>
            <c:numRef>
              <c:f>A!$I$21:$I$24</c:f>
              <c:numCache/>
            </c:numRef>
          </c:yVal>
          <c:smooth val="0"/>
        </c:ser>
        <c:ser>
          <c:idx val="2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999933"/>
                </a:solidFill>
              </a:ln>
            </c:spPr>
          </c:marker>
          <c:xVal>
            <c:numRef>
              <c:f>A!$F$21:$F$24</c:f>
              <c:numCache/>
            </c:numRef>
          </c:xVal>
          <c:yVal>
            <c:numRef>
              <c:f>A!$J$21:$J$24</c:f>
              <c:numCache/>
            </c:numRef>
          </c:yVal>
          <c:smooth val="0"/>
        </c:ser>
        <c:ser>
          <c:idx val="3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A!$F$21:$F$24</c:f>
              <c:numCache/>
            </c:numRef>
          </c:xVal>
          <c:yVal>
            <c:numRef>
              <c:f>A!$K$21:$K$24</c:f>
              <c:numCache/>
            </c:numRef>
          </c:yVal>
          <c:smooth val="0"/>
        </c:ser>
        <c:ser>
          <c:idx val="4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A!$F$21:$F$24</c:f>
              <c:numCache/>
            </c:numRef>
          </c:xVal>
          <c:yVal>
            <c:numRef>
              <c:f>A!$L$21:$L$24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A!$F$21:$F$24</c:f>
              <c:numCache/>
            </c:numRef>
          </c:xVal>
          <c:yVal>
            <c:numRef>
              <c:f>A!$M$21:$M$24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A!$F$21:$F$24</c:f>
              <c:numCache/>
            </c:numRef>
          </c:xVal>
          <c:yVal>
            <c:numRef>
              <c:f>A!$N$21:$N$24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A!$F$21:$F$24</c:f>
              <c:numCache/>
            </c:numRef>
          </c:xVal>
          <c:yVal>
            <c:numRef>
              <c:f>A!$O$21:$O$24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CC9CCC"/>
                </a:solidFill>
              </a:ln>
            </c:spPr>
          </c:marker>
          <c:xVal>
            <c:numRef>
              <c:f>A!$F$21:$F$24</c:f>
              <c:numCache/>
            </c:numRef>
          </c:xVal>
          <c:yVal>
            <c:numRef>
              <c:f>A!$R$21:$R$24</c:f>
              <c:numCache/>
            </c:numRef>
          </c:yVal>
          <c:smooth val="0"/>
        </c:ser>
        <c:axId val="46361906"/>
        <c:axId val="14603971"/>
      </c:scatterChart>
      <c:valAx>
        <c:axId val="463619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603971"/>
        <c:crossesAt val="0"/>
        <c:crossBetween val="midCat"/>
        <c:dispUnits/>
      </c:valAx>
      <c:valAx>
        <c:axId val="146039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61906"/>
        <c:crossesAt val="0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8525"/>
          <c:y val="0.926"/>
          <c:w val="0.735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762375" y="0"/>
        <a:ext cx="641032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zoomScalePageLayoutView="0" workbookViewId="0" topLeftCell="A1">
      <selection activeCell="E7" sqref="E7"/>
    </sheetView>
  </sheetViews>
  <sheetFormatPr defaultColWidth="10.28125" defaultRowHeight="12.75"/>
  <cols>
    <col min="1" max="1" width="14.421875" style="1" customWidth="1"/>
    <col min="2" max="2" width="3.8515625" style="1" customWidth="1"/>
    <col min="3" max="3" width="11.8515625" style="1" customWidth="1"/>
    <col min="4" max="4" width="9.421875" style="1" customWidth="1"/>
    <col min="5" max="5" width="16.421875" style="1" customWidth="1"/>
    <col min="6" max="6" width="10.28125" style="1" customWidth="1"/>
    <col min="7" max="7" width="8.140625" style="1" customWidth="1"/>
    <col min="8" max="14" width="8.57421875" style="1" customWidth="1"/>
    <col min="15" max="15" width="8.00390625" style="1" customWidth="1"/>
    <col min="16" max="16" width="7.7109375" style="1" customWidth="1"/>
    <col min="17" max="17" width="9.8515625" style="1" customWidth="1"/>
    <col min="18" max="16384" width="10.28125" style="1" customWidth="1"/>
  </cols>
  <sheetData>
    <row r="1" ht="20.25">
      <c r="A1" s="2" t="s">
        <v>0</v>
      </c>
    </row>
    <row r="2" spans="1:2" ht="12.75">
      <c r="A2" s="1" t="s">
        <v>1</v>
      </c>
      <c r="B2" s="3" t="s">
        <v>2</v>
      </c>
    </row>
    <row r="3" ht="12.75">
      <c r="C3" s="4"/>
    </row>
    <row r="4" spans="1:4" ht="12.75">
      <c r="A4" s="5" t="s">
        <v>3</v>
      </c>
      <c r="C4" s="6">
        <v>54400.525</v>
      </c>
      <c r="D4" s="7">
        <v>0.4358</v>
      </c>
    </row>
    <row r="6" ht="12.75">
      <c r="A6" s="5" t="s">
        <v>4</v>
      </c>
    </row>
    <row r="7" spans="1:4" ht="12.75">
      <c r="A7" s="1" t="s">
        <v>5</v>
      </c>
      <c r="C7" s="1">
        <v>54400.525</v>
      </c>
      <c r="D7" s="8" t="s">
        <v>6</v>
      </c>
    </row>
    <row r="8" spans="1:4" ht="12.75">
      <c r="A8" s="1" t="s">
        <v>7</v>
      </c>
      <c r="C8" s="1">
        <v>0.4358</v>
      </c>
      <c r="D8" s="8" t="s">
        <v>6</v>
      </c>
    </row>
    <row r="9" spans="1:5" ht="12.75">
      <c r="A9" s="9" t="s">
        <v>8</v>
      </c>
      <c r="B9"/>
      <c r="C9" s="10">
        <v>-9.5</v>
      </c>
      <c r="D9" t="s">
        <v>9</v>
      </c>
      <c r="E9"/>
    </row>
    <row r="10" spans="1:5" ht="12.75">
      <c r="A10"/>
      <c r="B10"/>
      <c r="C10" s="11" t="s">
        <v>10</v>
      </c>
      <c r="D10" s="11" t="s">
        <v>11</v>
      </c>
      <c r="E10"/>
    </row>
    <row r="11" spans="1:7" ht="12.75">
      <c r="A11" t="s">
        <v>12</v>
      </c>
      <c r="B11"/>
      <c r="C11" s="12">
        <f ca="1">INTERCEPT(INDIRECT($G$11):G991,INDIRECT($F$11):F991)</f>
        <v>0.0014176262460749878</v>
      </c>
      <c r="D11" s="13"/>
      <c r="E11"/>
      <c r="F11" s="14" t="str">
        <f>"F"&amp;E19</f>
        <v>F21</v>
      </c>
      <c r="G11" s="15" t="str">
        <f>"G"&amp;E19</f>
        <v>G21</v>
      </c>
    </row>
    <row r="12" spans="1:5" ht="12.75">
      <c r="A12" t="s">
        <v>13</v>
      </c>
      <c r="B12"/>
      <c r="C12" s="12">
        <f ca="1">SLOPE(INDIRECT($G$11):G991,INDIRECT($F$11):F991)</f>
        <v>-4.045469889753612E-07</v>
      </c>
      <c r="D12" s="13"/>
      <c r="E12"/>
    </row>
    <row r="13" spans="1:5" ht="12.75">
      <c r="A13" t="s">
        <v>14</v>
      </c>
      <c r="B13"/>
      <c r="C13" s="13" t="s">
        <v>15</v>
      </c>
      <c r="D13" s="16" t="s">
        <v>16</v>
      </c>
      <c r="E13" s="10">
        <v>1</v>
      </c>
    </row>
    <row r="14" spans="1:5" ht="12.75">
      <c r="A14"/>
      <c r="B14"/>
      <c r="C14"/>
      <c r="D14" s="16" t="s">
        <v>17</v>
      </c>
      <c r="E14" s="12">
        <f ca="1">NOW()+15018.5+$C$9/24</f>
        <v>59906.81761863425</v>
      </c>
    </row>
    <row r="15" spans="1:5" ht="12.75">
      <c r="A15" s="17" t="s">
        <v>18</v>
      </c>
      <c r="B15"/>
      <c r="C15" s="18">
        <f>(C7+C11)+(C8+C12)*INT(MAX(F21:F3532))</f>
        <v>57935.29693634562</v>
      </c>
      <c r="D15" s="16" t="s">
        <v>19</v>
      </c>
      <c r="E15" s="12">
        <f>ROUND(2*(E14-$C$7)/$C$8,0)/2+E13</f>
        <v>12636</v>
      </c>
    </row>
    <row r="16" spans="1:5" ht="12.75">
      <c r="A16" s="17" t="s">
        <v>20</v>
      </c>
      <c r="B16"/>
      <c r="C16" s="18">
        <f>+C8+C12</f>
        <v>0.43579959545301106</v>
      </c>
      <c r="D16" s="16" t="s">
        <v>21</v>
      </c>
      <c r="E16" s="15">
        <f>ROUND(2*(E14-$C$15)/$C$16,0)/2+E13</f>
        <v>4525</v>
      </c>
    </row>
    <row r="17" spans="1:5" ht="12.75">
      <c r="A17" s="16" t="s">
        <v>22</v>
      </c>
      <c r="B17"/>
      <c r="C17">
        <f>COUNT(C21:C2190)</f>
        <v>4</v>
      </c>
      <c r="D17" s="16" t="s">
        <v>23</v>
      </c>
      <c r="E17" s="19">
        <f>+$C$15+$C$16*E16-15018.5-$C$9/24</f>
        <v>44889.18593910383</v>
      </c>
    </row>
    <row r="18" spans="1:5" ht="12.75">
      <c r="A18" s="17" t="s">
        <v>24</v>
      </c>
      <c r="B18"/>
      <c r="C18" s="20">
        <f>+C15</f>
        <v>57935.29693634562</v>
      </c>
      <c r="D18" s="21">
        <f>+C16</f>
        <v>0.43579959545301106</v>
      </c>
      <c r="E18" s="22" t="s">
        <v>25</v>
      </c>
    </row>
    <row r="19" spans="1:5" ht="12.75">
      <c r="A19" s="23" t="s">
        <v>26</v>
      </c>
      <c r="E19" s="24">
        <v>21</v>
      </c>
    </row>
    <row r="20" spans="1:18" ht="12.75">
      <c r="A20" s="11" t="s">
        <v>27</v>
      </c>
      <c r="B20" s="11" t="s">
        <v>28</v>
      </c>
      <c r="C20" s="11" t="s">
        <v>29</v>
      </c>
      <c r="D20" s="11" t="s">
        <v>30</v>
      </c>
      <c r="E20" s="11" t="s">
        <v>31</v>
      </c>
      <c r="F20" s="11" t="s">
        <v>32</v>
      </c>
      <c r="G20" s="11" t="s">
        <v>33</v>
      </c>
      <c r="H20" s="25" t="s">
        <v>34</v>
      </c>
      <c r="I20" s="25" t="s">
        <v>35</v>
      </c>
      <c r="J20" s="25" t="s">
        <v>36</v>
      </c>
      <c r="K20" s="25" t="s">
        <v>37</v>
      </c>
      <c r="L20" s="25" t="s">
        <v>38</v>
      </c>
      <c r="M20" s="25" t="s">
        <v>39</v>
      </c>
      <c r="N20" s="25" t="s">
        <v>40</v>
      </c>
      <c r="O20" s="25" t="s">
        <v>41</v>
      </c>
      <c r="P20" s="25" t="s">
        <v>42</v>
      </c>
      <c r="Q20" s="11" t="s">
        <v>43</v>
      </c>
      <c r="R20" s="26" t="s">
        <v>44</v>
      </c>
    </row>
    <row r="21" spans="1:17" ht="12.75">
      <c r="A21" s="27" t="s">
        <v>34</v>
      </c>
      <c r="B21" s="27"/>
      <c r="C21" s="28">
        <v>52813.78</v>
      </c>
      <c r="D21" s="28" t="s">
        <v>15</v>
      </c>
      <c r="E21" s="1">
        <f>+(C21-C$7)/C$8</f>
        <v>-3640.9935750344252</v>
      </c>
      <c r="F21" s="1">
        <f>ROUND(2*E21,0)/2</f>
        <v>-3641</v>
      </c>
      <c r="G21" s="1">
        <f>+C21-(C$7+F21*C$8)</f>
        <v>0.002799999994749669</v>
      </c>
      <c r="H21" s="1">
        <f>+G21</f>
        <v>0.002799999994749669</v>
      </c>
      <c r="O21" s="1">
        <f>+C$11+C$12*$F21</f>
        <v>0.0028905818329342777</v>
      </c>
      <c r="Q21" s="37">
        <f>+C21-15018.5</f>
        <v>37795.28</v>
      </c>
    </row>
    <row r="22" spans="1:17" ht="12.75">
      <c r="A22" s="27" t="s">
        <v>45</v>
      </c>
      <c r="B22" s="27"/>
      <c r="C22" s="29">
        <v>54400.525</v>
      </c>
      <c r="D22" s="28"/>
      <c r="E22" s="1">
        <f>+(C22-C$7)/C$8</f>
        <v>0</v>
      </c>
      <c r="F22" s="1">
        <f>ROUND(2*E22,0)/2</f>
        <v>0</v>
      </c>
      <c r="G22" s="1">
        <f>+C22-(C$7+F22*C$8)</f>
        <v>0</v>
      </c>
      <c r="H22" s="1">
        <f>+G22</f>
        <v>0</v>
      </c>
      <c r="O22" s="1">
        <f>+C$11+C$12*$F22</f>
        <v>0.0014176262460749878</v>
      </c>
      <c r="Q22" s="37">
        <f>+C22-15018.5</f>
        <v>39382.025</v>
      </c>
    </row>
    <row r="23" spans="1:17" ht="12.75">
      <c r="A23" s="30" t="s">
        <v>46</v>
      </c>
      <c r="B23" s="31" t="s">
        <v>47</v>
      </c>
      <c r="C23" s="32">
        <v>56449.4419</v>
      </c>
      <c r="D23" s="33">
        <v>0.0004</v>
      </c>
      <c r="E23" s="1">
        <f>+(C23-C$7)/C$8</f>
        <v>4701.507342817798</v>
      </c>
      <c r="F23" s="1">
        <f>ROUND(2*E23,0)/2</f>
        <v>4701.5</v>
      </c>
      <c r="G23" s="1">
        <f>+C23-(C$7+F23*C$8)</f>
        <v>0.0031999999991967343</v>
      </c>
      <c r="H23" s="1">
        <f>+G23</f>
        <v>0.0031999999991967343</v>
      </c>
      <c r="O23" s="1">
        <f>+C$11+C$12*$F23</f>
        <v>-0.0004843514225926727</v>
      </c>
      <c r="Q23" s="37">
        <f>+C23-15018.5</f>
        <v>41430.9419</v>
      </c>
    </row>
    <row r="24" spans="1:17" ht="12.75">
      <c r="A24" s="34" t="s">
        <v>48</v>
      </c>
      <c r="B24" s="35" t="s">
        <v>49</v>
      </c>
      <c r="C24" s="36">
        <v>57935.51266000001</v>
      </c>
      <c r="D24" s="36">
        <v>0.003</v>
      </c>
      <c r="E24" s="1">
        <f>+(C24-C$7)/C$8</f>
        <v>8111.490729692533</v>
      </c>
      <c r="F24" s="1">
        <f>ROUND(2*E24,0)/2</f>
        <v>8111.5</v>
      </c>
      <c r="G24" s="1">
        <f>+C24-(C$7+F24*C$8)</f>
        <v>-0.004039999992528465</v>
      </c>
      <c r="H24" s="1">
        <f>+G24</f>
        <v>-0.004039999992528465</v>
      </c>
      <c r="O24" s="1">
        <f>+C$11+C$12*$F24</f>
        <v>-0.0018638566549986542</v>
      </c>
      <c r="Q24" s="37">
        <f>+C24-15018.5</f>
        <v>42917.01266000001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dcterms:modified xsi:type="dcterms:W3CDTF">2022-11-23T06:37:22Z</dcterms:modified>
  <cp:category/>
  <cp:version/>
  <cp:contentType/>
  <cp:contentStatus/>
</cp:coreProperties>
</file>