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775" windowHeight="13710" activeTab="0"/>
  </bookViews>
  <sheets>
    <sheet name="A" sheetId="1" r:id="rId1"/>
  </sheets>
  <definedNames>
    <definedName name="solver_adj" localSheetId="0" hidden="1">'A'!$E$11:$E$13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'A'!$E$14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<sst xmlns="http://schemas.openxmlformats.org/spreadsheetml/2006/main" count="89" uniqueCount="60">
  <si>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</si>
  <si>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</si>
  <si>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</si>
  <si>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</si>
  <si>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</si>
  <si>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</si>
  <si>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</si>
  <si>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</si>
  <si>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</si>
  <si>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</si>
  <si>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</si>
  <si>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</si>
  <si>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</si>
  <si>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</si>
  <si>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</si>
  <si>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</si>
  <si>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</si>
  <si>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</si>
  <si>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</si>
  <si>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</si>
  <si>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</si>
  <si>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</si>
  <si>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</si>
  <si>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</si>
  <si>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</si>
  <si>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</si>
  <si>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</si>
  <si>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</si>
  <si>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</si>
  <si>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</si>
  <si>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</si>
  <si>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</si>
  <si>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</si>
  <si>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</si>
  <si>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</si>
  <si>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not avail.</t>
  </si>
  <si>
    <t>Constell:</t>
  </si>
  <si>
    <t>G0246-0090</t>
  </si>
  <si>
    <t>IBVS 5945</t>
  </si>
  <si>
    <t>II</t>
  </si>
  <si>
    <t>IBVS 5992</t>
  </si>
  <si>
    <t>I</t>
  </si>
  <si>
    <t>IBVS 6029</t>
  </si>
  <si>
    <t>G0246-0090_Sex.xls</t>
  </si>
  <si>
    <t>EB / EW</t>
  </si>
  <si>
    <t>Sex</t>
  </si>
  <si>
    <t>VSX</t>
  </si>
  <si>
    <t>Alton (pc)</t>
  </si>
  <si>
    <t>pg</t>
  </si>
  <si>
    <t>vis</t>
  </si>
  <si>
    <t>PE</t>
  </si>
  <si>
    <t>CCD</t>
  </si>
  <si>
    <t>BAD?</t>
  </si>
  <si>
    <t>BV Sex / GSC 0246-0090</t>
  </si>
  <si>
    <t>Linear Ephemeris =</t>
  </si>
  <si>
    <t>Quad. Ephemeris =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</si>
  <si>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</si>
  <si>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</si>
  <si>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wt.diff</t>
    </r>
    <r>
      <rPr>
        <b/>
        <vertAlign val="superscript"/>
        <sz val="10"/>
        <rFont val="Arial"/>
        <family val="2"/>
      </rPr>
      <t>2</t>
    </r>
  </si>
  <si>
    <t>dP/dt =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</si>
</sst>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73" fontId="0" fillId="0" borderId="0" xfId="0" applyNumberFormat="1" applyAlignment="1">
      <alignment horizontal="left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11" fontId="0" fillId="0" borderId="0" xfId="0" applyNumberFormat="1" applyAlignment="1">
      <alignment/>
    </xf>
    <xf numFmtId="0" fontId="1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BV Sex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09975"/>
          <c:w val="0.91"/>
          <c:h val="0.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0.0008</c:v>
                  </c:pt>
                  <c:pt idx="5">
                    <c:v>0.0009</c:v>
                  </c:pt>
                  <c:pt idx="6">
                    <c:v>0.00023269937687926884</c:v>
                  </c:pt>
                  <c:pt idx="7">
                    <c:v>0.00045458393675486996</c:v>
                  </c:pt>
                  <c:pt idx="8">
                    <c:v>0.00020566153424174068</c:v>
                  </c:pt>
                  <c:pt idx="9">
                    <c:v>0.00012771017535376296</c:v>
                  </c:pt>
                  <c:pt idx="10">
                    <c:v>0.0002616031770109496</c:v>
                  </c:pt>
                  <c:pt idx="11">
                    <c:v>0.00023187760181229714</c:v>
                  </c:pt>
                  <c:pt idx="12">
                    <c:v>0.0002723947299212833</c:v>
                  </c:pt>
                  <c:pt idx="13">
                    <c:v>0.00017017148213885116</c:v>
                  </c:pt>
                  <c:pt idx="14">
                    <c:v>0.0004294422739631797</c:v>
                  </c:pt>
                  <c:pt idx="15">
                    <c:v>0.00018424259370008154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0.0008</c:v>
                  </c:pt>
                  <c:pt idx="5">
                    <c:v>0.0009</c:v>
                  </c:pt>
                  <c:pt idx="6">
                    <c:v>0.00023269937687926884</c:v>
                  </c:pt>
                  <c:pt idx="7">
                    <c:v>0.00045458393675486996</c:v>
                  </c:pt>
                  <c:pt idx="8">
                    <c:v>0.00020566153424174068</c:v>
                  </c:pt>
                  <c:pt idx="9">
                    <c:v>0.00012771017535376296</c:v>
                  </c:pt>
                  <c:pt idx="10">
                    <c:v>0.0002616031770109496</c:v>
                  </c:pt>
                  <c:pt idx="11">
                    <c:v>0.00023187760181229714</c:v>
                  </c:pt>
                  <c:pt idx="12">
                    <c:v>0.0002723947299212833</c:v>
                  </c:pt>
                  <c:pt idx="13">
                    <c:v>0.00017017148213885116</c:v>
                  </c:pt>
                  <c:pt idx="14">
                    <c:v>0.0004294422739631797</c:v>
                  </c:pt>
                  <c:pt idx="15">
                    <c:v>0.00018424259370008154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0.0008</c:v>
                  </c:pt>
                  <c:pt idx="5">
                    <c:v>0.0009</c:v>
                  </c:pt>
                  <c:pt idx="6">
                    <c:v>0.00023269937687926884</c:v>
                  </c:pt>
                  <c:pt idx="7">
                    <c:v>0.00045458393675486996</c:v>
                  </c:pt>
                  <c:pt idx="8">
                    <c:v>0.00020566153424174068</c:v>
                  </c:pt>
                  <c:pt idx="9">
                    <c:v>0.00012771017535376296</c:v>
                  </c:pt>
                  <c:pt idx="10">
                    <c:v>0.0002616031770109496</c:v>
                  </c:pt>
                  <c:pt idx="11">
                    <c:v>0.00023187760181229714</c:v>
                  </c:pt>
                  <c:pt idx="12">
                    <c:v>0.0002723947299212833</c:v>
                  </c:pt>
                  <c:pt idx="13">
                    <c:v>0.00017017148213885116</c:v>
                  </c:pt>
                  <c:pt idx="14">
                    <c:v>0.0004294422739631797</c:v>
                  </c:pt>
                  <c:pt idx="15">
                    <c:v>0.00018424259370008154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0.0008</c:v>
                  </c:pt>
                  <c:pt idx="5">
                    <c:v>0.0009</c:v>
                  </c:pt>
                  <c:pt idx="6">
                    <c:v>0.00023269937687926884</c:v>
                  </c:pt>
                  <c:pt idx="7">
                    <c:v>0.00045458393675486996</c:v>
                  </c:pt>
                  <c:pt idx="8">
                    <c:v>0.00020566153424174068</c:v>
                  </c:pt>
                  <c:pt idx="9">
                    <c:v>0.00012771017535376296</c:v>
                  </c:pt>
                  <c:pt idx="10">
                    <c:v>0.0002616031770109496</c:v>
                  </c:pt>
                  <c:pt idx="11">
                    <c:v>0.00023187760181229714</c:v>
                  </c:pt>
                  <c:pt idx="12">
                    <c:v>0.0002723947299212833</c:v>
                  </c:pt>
                  <c:pt idx="13">
                    <c:v>0.00017017148213885116</c:v>
                  </c:pt>
                  <c:pt idx="14">
                    <c:v>0.0004294422739631797</c:v>
                  </c:pt>
                  <c:pt idx="15">
                    <c:v>0.00018424259370008154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0.0008</c:v>
                  </c:pt>
                  <c:pt idx="5">
                    <c:v>0.0009</c:v>
                  </c:pt>
                  <c:pt idx="6">
                    <c:v>0.00023269937687926884</c:v>
                  </c:pt>
                  <c:pt idx="7">
                    <c:v>0.00045458393675486996</c:v>
                  </c:pt>
                  <c:pt idx="8">
                    <c:v>0.00020566153424174068</c:v>
                  </c:pt>
                  <c:pt idx="9">
                    <c:v>0.00012771017535376296</c:v>
                  </c:pt>
                  <c:pt idx="10">
                    <c:v>0.0002616031770109496</c:v>
                  </c:pt>
                  <c:pt idx="11">
                    <c:v>0.00023187760181229714</c:v>
                  </c:pt>
                  <c:pt idx="12">
                    <c:v>0.0002723947299212833</c:v>
                  </c:pt>
                  <c:pt idx="13">
                    <c:v>0.00017017148213885116</c:v>
                  </c:pt>
                  <c:pt idx="14">
                    <c:v>0.0004294422739631797</c:v>
                  </c:pt>
                  <c:pt idx="15">
                    <c:v>0.00018424259370008154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0.0008</c:v>
                  </c:pt>
                  <c:pt idx="5">
                    <c:v>0.0009</c:v>
                  </c:pt>
                  <c:pt idx="6">
                    <c:v>0.00023269937687926884</c:v>
                  </c:pt>
                  <c:pt idx="7">
                    <c:v>0.00045458393675486996</c:v>
                  </c:pt>
                  <c:pt idx="8">
                    <c:v>0.00020566153424174068</c:v>
                  </c:pt>
                  <c:pt idx="9">
                    <c:v>0.00012771017535376296</c:v>
                  </c:pt>
                  <c:pt idx="10">
                    <c:v>0.0002616031770109496</c:v>
                  </c:pt>
                  <c:pt idx="11">
                    <c:v>0.00023187760181229714</c:v>
                  </c:pt>
                  <c:pt idx="12">
                    <c:v>0.0002723947299212833</c:v>
                  </c:pt>
                  <c:pt idx="13">
                    <c:v>0.00017017148213885116</c:v>
                  </c:pt>
                  <c:pt idx="14">
                    <c:v>0.0004294422739631797</c:v>
                  </c:pt>
                  <c:pt idx="15">
                    <c:v>0.00018424259370008154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0.0008</c:v>
                  </c:pt>
                  <c:pt idx="5">
                    <c:v>0.0009</c:v>
                  </c:pt>
                  <c:pt idx="6">
                    <c:v>0.00023269937687926884</c:v>
                  </c:pt>
                  <c:pt idx="7">
                    <c:v>0.00045458393675486996</c:v>
                  </c:pt>
                  <c:pt idx="8">
                    <c:v>0.00020566153424174068</c:v>
                  </c:pt>
                  <c:pt idx="9">
                    <c:v>0.00012771017535376296</c:v>
                  </c:pt>
                  <c:pt idx="10">
                    <c:v>0.0002616031770109496</c:v>
                  </c:pt>
                  <c:pt idx="11">
                    <c:v>0.00023187760181229714</c:v>
                  </c:pt>
                  <c:pt idx="12">
                    <c:v>0.0002723947299212833</c:v>
                  </c:pt>
                  <c:pt idx="13">
                    <c:v>0.00017017148213885116</c:v>
                  </c:pt>
                  <c:pt idx="14">
                    <c:v>0.0004294422739631797</c:v>
                  </c:pt>
                  <c:pt idx="15">
                    <c:v>0.00018424259370008154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0.0008</c:v>
                  </c:pt>
                  <c:pt idx="5">
                    <c:v>0.0009</c:v>
                  </c:pt>
                  <c:pt idx="6">
                    <c:v>0.00023269937687926884</c:v>
                  </c:pt>
                  <c:pt idx="7">
                    <c:v>0.00045458393675486996</c:v>
                  </c:pt>
                  <c:pt idx="8">
                    <c:v>0.00020566153424174068</c:v>
                  </c:pt>
                  <c:pt idx="9">
                    <c:v>0.00012771017535376296</c:v>
                  </c:pt>
                  <c:pt idx="10">
                    <c:v>0.0002616031770109496</c:v>
                  </c:pt>
                  <c:pt idx="11">
                    <c:v>0.00023187760181229714</c:v>
                  </c:pt>
                  <c:pt idx="12">
                    <c:v>0.0002723947299212833</c:v>
                  </c:pt>
                  <c:pt idx="13">
                    <c:v>0.00017017148213885116</c:v>
                  </c:pt>
                  <c:pt idx="14">
                    <c:v>0.0004294422739631797</c:v>
                  </c:pt>
                  <c:pt idx="15">
                    <c:v>0.00018424259370008154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0.0008</c:v>
                  </c:pt>
                  <c:pt idx="5">
                    <c:v>0.0009</c:v>
                  </c:pt>
                  <c:pt idx="6">
                    <c:v>0.00023269937687926884</c:v>
                  </c:pt>
                  <c:pt idx="7">
                    <c:v>0.00045458393675486996</c:v>
                  </c:pt>
                  <c:pt idx="8">
                    <c:v>0.00020566153424174068</c:v>
                  </c:pt>
                  <c:pt idx="9">
                    <c:v>0.00012771017535376296</c:v>
                  </c:pt>
                  <c:pt idx="10">
                    <c:v>0.0002616031770109496</c:v>
                  </c:pt>
                  <c:pt idx="11">
                    <c:v>0.00023187760181229714</c:v>
                  </c:pt>
                  <c:pt idx="12">
                    <c:v>0.0002723947299212833</c:v>
                  </c:pt>
                  <c:pt idx="13">
                    <c:v>0.00017017148213885116</c:v>
                  </c:pt>
                  <c:pt idx="14">
                    <c:v>0.0004294422739631797</c:v>
                  </c:pt>
                  <c:pt idx="15">
                    <c:v>0.00018424259370008154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0.0008</c:v>
                  </c:pt>
                  <c:pt idx="5">
                    <c:v>0.0009</c:v>
                  </c:pt>
                  <c:pt idx="6">
                    <c:v>0.00023269937687926884</c:v>
                  </c:pt>
                  <c:pt idx="7">
                    <c:v>0.00045458393675486996</c:v>
                  </c:pt>
                  <c:pt idx="8">
                    <c:v>0.00020566153424174068</c:v>
                  </c:pt>
                  <c:pt idx="9">
                    <c:v>0.00012771017535376296</c:v>
                  </c:pt>
                  <c:pt idx="10">
                    <c:v>0.0002616031770109496</c:v>
                  </c:pt>
                  <c:pt idx="11">
                    <c:v>0.00023187760181229714</c:v>
                  </c:pt>
                  <c:pt idx="12">
                    <c:v>0.0002723947299212833</c:v>
                  </c:pt>
                  <c:pt idx="13">
                    <c:v>0.00017017148213885116</c:v>
                  </c:pt>
                  <c:pt idx="14">
                    <c:v>0.0004294422739631797</c:v>
                  </c:pt>
                  <c:pt idx="15">
                    <c:v>0.00018424259370008154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0.0008</c:v>
                  </c:pt>
                  <c:pt idx="5">
                    <c:v>0.0009</c:v>
                  </c:pt>
                  <c:pt idx="6">
                    <c:v>0.00023269937687926884</c:v>
                  </c:pt>
                  <c:pt idx="7">
                    <c:v>0.00045458393675486996</c:v>
                  </c:pt>
                  <c:pt idx="8">
                    <c:v>0.00020566153424174068</c:v>
                  </c:pt>
                  <c:pt idx="9">
                    <c:v>0.00012771017535376296</c:v>
                  </c:pt>
                  <c:pt idx="10">
                    <c:v>0.0002616031770109496</c:v>
                  </c:pt>
                  <c:pt idx="11">
                    <c:v>0.00023187760181229714</c:v>
                  </c:pt>
                  <c:pt idx="12">
                    <c:v>0.0002723947299212833</c:v>
                  </c:pt>
                  <c:pt idx="13">
                    <c:v>0.00017017148213885116</c:v>
                  </c:pt>
                  <c:pt idx="14">
                    <c:v>0.0004294422739631797</c:v>
                  </c:pt>
                  <c:pt idx="15">
                    <c:v>0.00018424259370008154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0.0008</c:v>
                  </c:pt>
                  <c:pt idx="5">
                    <c:v>0.0009</c:v>
                  </c:pt>
                  <c:pt idx="6">
                    <c:v>0.00023269937687926884</c:v>
                  </c:pt>
                  <c:pt idx="7">
                    <c:v>0.00045458393675486996</c:v>
                  </c:pt>
                  <c:pt idx="8">
                    <c:v>0.00020566153424174068</c:v>
                  </c:pt>
                  <c:pt idx="9">
                    <c:v>0.00012771017535376296</c:v>
                  </c:pt>
                  <c:pt idx="10">
                    <c:v>0.0002616031770109496</c:v>
                  </c:pt>
                  <c:pt idx="11">
                    <c:v>0.00023187760181229714</c:v>
                  </c:pt>
                  <c:pt idx="12">
                    <c:v>0.0002723947299212833</c:v>
                  </c:pt>
                  <c:pt idx="13">
                    <c:v>0.00017017148213885116</c:v>
                  </c:pt>
                  <c:pt idx="14">
                    <c:v>0.0004294422739631797</c:v>
                  </c:pt>
                  <c:pt idx="15">
                    <c:v>0.00018424259370008154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0.0008</c:v>
                  </c:pt>
                  <c:pt idx="5">
                    <c:v>0.0009</c:v>
                  </c:pt>
                  <c:pt idx="6">
                    <c:v>0.00023269937687926884</c:v>
                  </c:pt>
                  <c:pt idx="7">
                    <c:v>0.00045458393675486996</c:v>
                  </c:pt>
                  <c:pt idx="8">
                    <c:v>0.00020566153424174068</c:v>
                  </c:pt>
                  <c:pt idx="9">
                    <c:v>0.00012771017535376296</c:v>
                  </c:pt>
                  <c:pt idx="10">
                    <c:v>0.0002616031770109496</c:v>
                  </c:pt>
                  <c:pt idx="11">
                    <c:v>0.00023187760181229714</c:v>
                  </c:pt>
                  <c:pt idx="12">
                    <c:v>0.0002723947299212833</c:v>
                  </c:pt>
                  <c:pt idx="13">
                    <c:v>0.00017017148213885116</c:v>
                  </c:pt>
                  <c:pt idx="14">
                    <c:v>0.0004294422739631797</c:v>
                  </c:pt>
                  <c:pt idx="15">
                    <c:v>0.00018424259370008154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0.0003</c:v>
                  </c:pt>
                  <c:pt idx="4">
                    <c:v>0.0008</c:v>
                  </c:pt>
                  <c:pt idx="5">
                    <c:v>0.0009</c:v>
                  </c:pt>
                  <c:pt idx="6">
                    <c:v>0.00023269937687926884</c:v>
                  </c:pt>
                  <c:pt idx="7">
                    <c:v>0.00045458393675486996</c:v>
                  </c:pt>
                  <c:pt idx="8">
                    <c:v>0.00020566153424174068</c:v>
                  </c:pt>
                  <c:pt idx="9">
                    <c:v>0.00012771017535376296</c:v>
                  </c:pt>
                  <c:pt idx="10">
                    <c:v>0.0002616031770109496</c:v>
                  </c:pt>
                  <c:pt idx="11">
                    <c:v>0.00023187760181229714</c:v>
                  </c:pt>
                  <c:pt idx="12">
                    <c:v>0.0002723947299212833</c:v>
                  </c:pt>
                  <c:pt idx="13">
                    <c:v>0.00017017148213885116</c:v>
                  </c:pt>
                  <c:pt idx="14">
                    <c:v>0.0004294422739631797</c:v>
                  </c:pt>
                  <c:pt idx="15">
                    <c:v>0.00018424259370008154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ser>
          <c:idx val="9"/>
          <c:order val="9"/>
          <c:tx>
            <c:strRef>
              <c:f>A!$W$1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A!$V$2:$V$17</c:f>
              <c:numCache/>
            </c:numRef>
          </c:xVal>
          <c:yVal>
            <c:numRef>
              <c:f>A!$W$2:$W$17</c:f>
              <c:numCache/>
            </c:numRef>
          </c:yVal>
          <c:smooth val="0"/>
        </c:ser>
        <c:axId val="25895599"/>
        <c:axId val="31733800"/>
      </c:scatterChart>
      <c:valAx>
        <c:axId val="2589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33800"/>
        <c:crosses val="autoZero"/>
        <c:crossBetween val="midCat"/>
        <c:dispUnits/>
      </c:valAx>
      <c:valAx>
        <c:axId val="3173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55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15"/>
          <c:y val="0.93425"/>
          <c:w val="0.824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0</xdr:row>
      <xdr:rowOff>0</xdr:rowOff>
    </xdr:from>
    <xdr:to>
      <xdr:col>21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6886575" y="0"/>
        <a:ext cx="63341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42187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  <col min="19" max="19" width="6.7109375" style="0" customWidth="1"/>
  </cols>
  <sheetData>
    <row r="1" spans="1:23" ht="21" thickBot="1">
      <c r="A1" s="1" t="s">
        <v>53</v>
      </c>
      <c r="E1" t="s">
        <v>43</v>
      </c>
      <c r="V1" s="4" t="s">
        <v>9</v>
      </c>
      <c r="W1" s="6" t="s">
        <v>20</v>
      </c>
    </row>
    <row r="2" spans="1:23" ht="12.75">
      <c r="A2" t="s">
        <v>22</v>
      </c>
      <c r="B2" t="s">
        <v>44</v>
      </c>
      <c r="C2" s="27" t="s">
        <v>36</v>
      </c>
      <c r="D2" s="3" t="s">
        <v>45</v>
      </c>
      <c r="E2" s="28" t="s">
        <v>37</v>
      </c>
      <c r="F2" t="e">
        <v>#N/A</v>
      </c>
      <c r="V2" s="49">
        <v>0</v>
      </c>
      <c r="W2" s="49">
        <f aca="true" t="shared" si="0" ref="W2:W17">+D$11+D$12*V2+D$13*V2^2</f>
        <v>-0.007561557066695652</v>
      </c>
    </row>
    <row r="3" spans="22:23" ht="13.5" thickBot="1">
      <c r="V3" s="49">
        <v>1000</v>
      </c>
      <c r="W3" s="49">
        <f t="shared" si="0"/>
        <v>-0.00422139138621016</v>
      </c>
    </row>
    <row r="4" spans="1:23" ht="14.25" thickBot="1" thickTop="1">
      <c r="A4" s="5" t="s">
        <v>0</v>
      </c>
      <c r="C4" s="24" t="s">
        <v>35</v>
      </c>
      <c r="D4" s="25" t="s">
        <v>35</v>
      </c>
      <c r="V4" s="49">
        <v>2000</v>
      </c>
      <c r="W4" s="49">
        <f t="shared" si="0"/>
        <v>-0.0011925140823150215</v>
      </c>
    </row>
    <row r="5" spans="1:23" ht="13.5" thickTop="1">
      <c r="A5" s="9" t="s">
        <v>27</v>
      </c>
      <c r="B5" s="10"/>
      <c r="C5" s="11">
        <v>-9.5</v>
      </c>
      <c r="D5" s="10" t="s">
        <v>28</v>
      </c>
      <c r="V5" s="49">
        <v>3000</v>
      </c>
      <c r="W5" s="49">
        <f t="shared" si="0"/>
        <v>0.0015250748449897617</v>
      </c>
    </row>
    <row r="6" spans="1:23" ht="12.75">
      <c r="A6" s="5" t="s">
        <v>1</v>
      </c>
      <c r="V6" s="49">
        <v>4000</v>
      </c>
      <c r="W6" s="49">
        <f t="shared" si="0"/>
        <v>0.0039313753957041925</v>
      </c>
    </row>
    <row r="7" spans="1:23" ht="12.75">
      <c r="A7" t="s">
        <v>2</v>
      </c>
      <c r="C7" s="8">
        <v>54886.711</v>
      </c>
      <c r="D7" s="26" t="s">
        <v>46</v>
      </c>
      <c r="V7" s="49">
        <v>5000</v>
      </c>
      <c r="W7" s="49">
        <f t="shared" si="0"/>
        <v>0.006026387569828267</v>
      </c>
    </row>
    <row r="8" spans="1:23" ht="12.75">
      <c r="A8" t="s">
        <v>3</v>
      </c>
      <c r="C8" s="8">
        <v>0.295587</v>
      </c>
      <c r="D8" s="26" t="s">
        <v>46</v>
      </c>
      <c r="V8" s="49">
        <v>6000</v>
      </c>
      <c r="W8" s="49">
        <f t="shared" si="0"/>
        <v>0.00781011136736199</v>
      </c>
    </row>
    <row r="9" spans="1:23" ht="12.75">
      <c r="A9" s="22" t="s">
        <v>31</v>
      </c>
      <c r="B9" s="23">
        <v>27</v>
      </c>
      <c r="C9" s="20" t="str">
        <f>"F"&amp;B9</f>
        <v>F27</v>
      </c>
      <c r="D9" s="21" t="str">
        <f>"G"&amp;B9</f>
        <v>G27</v>
      </c>
      <c r="V9" s="49">
        <v>7000</v>
      </c>
      <c r="W9" s="49">
        <f t="shared" si="0"/>
        <v>0.009282546788305358</v>
      </c>
    </row>
    <row r="10" spans="1:23" ht="13.5" thickBot="1">
      <c r="A10" s="10"/>
      <c r="B10" s="10"/>
      <c r="C10" s="4" t="s">
        <v>18</v>
      </c>
      <c r="D10" s="4" t="s">
        <v>19</v>
      </c>
      <c r="E10" s="10"/>
      <c r="V10" s="49">
        <v>8000</v>
      </c>
      <c r="W10" s="49">
        <f t="shared" si="0"/>
        <v>0.010443693832658375</v>
      </c>
    </row>
    <row r="11" spans="1:23" ht="12.75">
      <c r="A11" s="10" t="s">
        <v>14</v>
      </c>
      <c r="B11" s="10"/>
      <c r="C11" s="19">
        <f ca="1">INTERCEPT(INDIRECT($D$9):G992,INDIRECT($C$9):F992)</f>
        <v>0.027770921871525668</v>
      </c>
      <c r="D11" s="13">
        <f>+E11*F11</f>
        <v>-0.007561557066695652</v>
      </c>
      <c r="E11" s="36">
        <v>-0.007561557066695652</v>
      </c>
      <c r="F11">
        <v>1</v>
      </c>
      <c r="H11">
        <v>-0.008</v>
      </c>
      <c r="V11" s="49">
        <v>9000</v>
      </c>
      <c r="W11" s="49">
        <f t="shared" si="0"/>
        <v>0.011293552500421035</v>
      </c>
    </row>
    <row r="12" spans="1:23" ht="12.75">
      <c r="A12" s="10" t="s">
        <v>15</v>
      </c>
      <c r="B12" s="10"/>
      <c r="C12" s="19">
        <f ca="1">SLOPE(INDIRECT($D$9):G992,INDIRECT($C$9):F992)</f>
        <v>-1.2420968762964834E-06</v>
      </c>
      <c r="D12" s="13">
        <f>+E12*F12</f>
        <v>3.4958098687806686E-06</v>
      </c>
      <c r="E12" s="37">
        <v>0.03495809868780669</v>
      </c>
      <c r="F12" s="38">
        <v>0.0001</v>
      </c>
      <c r="H12">
        <v>0.04</v>
      </c>
      <c r="V12" s="49">
        <v>10000</v>
      </c>
      <c r="W12" s="49">
        <f t="shared" si="0"/>
        <v>0.011832122791593342</v>
      </c>
    </row>
    <row r="13" spans="1:23" ht="13.5" thickBot="1">
      <c r="A13" s="10" t="s">
        <v>17</v>
      </c>
      <c r="B13" s="10"/>
      <c r="C13" s="3" t="s">
        <v>12</v>
      </c>
      <c r="D13" s="13">
        <f>+E13*F13</f>
        <v>-1.5564418829517693E-10</v>
      </c>
      <c r="E13" s="39">
        <v>-0.015564418829517692</v>
      </c>
      <c r="F13" s="38">
        <v>1E-08</v>
      </c>
      <c r="H13">
        <v>-0.02</v>
      </c>
      <c r="V13" s="49">
        <v>11000</v>
      </c>
      <c r="W13" s="49">
        <f t="shared" si="0"/>
        <v>0.012059404706175295</v>
      </c>
    </row>
    <row r="14" spans="1:23" ht="12.75">
      <c r="A14" s="10" t="s">
        <v>59</v>
      </c>
      <c r="B14" s="10"/>
      <c r="C14" s="10"/>
      <c r="D14">
        <f>2*365.24*D13/C8</f>
        <v>-3.8464129567897385E-07</v>
      </c>
      <c r="E14">
        <f>SUM(T21:T950)</f>
        <v>8.456109384237885E-06</v>
      </c>
      <c r="H14">
        <v>0.001364951712740784</v>
      </c>
      <c r="V14" s="49">
        <v>12000</v>
      </c>
      <c r="W14" s="49">
        <f t="shared" si="0"/>
        <v>0.011975398244166893</v>
      </c>
    </row>
    <row r="15" spans="1:23" ht="12.75">
      <c r="A15" s="12" t="s">
        <v>16</v>
      </c>
      <c r="B15" s="10"/>
      <c r="C15" s="13">
        <f>(C7+C11)+(C8+C12)*INT(MAX(F21:F3533))</f>
        <v>58881.87587474049</v>
      </c>
      <c r="D15" s="21">
        <f>+C7+INT(MAX(F21:F1588))*C8+D11+D12*INT(MAX(F21:F4023))+D13*INT(MAX(F21:F4050)^2)</f>
        <v>58881.876146377675</v>
      </c>
      <c r="E15" s="14" t="s">
        <v>32</v>
      </c>
      <c r="F15" s="11">
        <v>1</v>
      </c>
      <c r="V15" s="49">
        <v>13000</v>
      </c>
      <c r="W15" s="49">
        <f t="shared" si="0"/>
        <v>0.011580103405568136</v>
      </c>
    </row>
    <row r="16" spans="1:23" ht="12.75">
      <c r="A16" s="16" t="s">
        <v>4</v>
      </c>
      <c r="B16" s="10"/>
      <c r="C16" s="17">
        <f>+C8+C12</f>
        <v>0.2955857579031237</v>
      </c>
      <c r="D16" s="21">
        <f>+C8+D12+2*D13*MAX(F21:F896)</f>
        <v>0.2955862884361708</v>
      </c>
      <c r="E16" s="14" t="s">
        <v>29</v>
      </c>
      <c r="F16" s="15">
        <f ca="1">NOW()+15018.5+$C$5/24</f>
        <v>59906.82407569444</v>
      </c>
      <c r="V16" s="49">
        <v>14000</v>
      </c>
      <c r="W16" s="49">
        <f t="shared" si="0"/>
        <v>0.01087352019037903</v>
      </c>
    </row>
    <row r="17" spans="1:23" ht="13.5" thickBot="1">
      <c r="A17" s="14" t="s">
        <v>26</v>
      </c>
      <c r="B17" s="10"/>
      <c r="C17" s="10">
        <f>COUNT(C21:C2191)</f>
        <v>16</v>
      </c>
      <c r="E17" s="14" t="s">
        <v>33</v>
      </c>
      <c r="F17" s="15">
        <f>ROUND(2*(F16-$C$7)/$C$8,0)/2+F15</f>
        <v>16984.5</v>
      </c>
      <c r="V17" s="49">
        <v>15000</v>
      </c>
      <c r="W17" s="49">
        <f t="shared" si="0"/>
        <v>0.009855648598599567</v>
      </c>
    </row>
    <row r="18" spans="1:6" ht="14.25" thickBot="1" thickTop="1">
      <c r="A18" s="5" t="s">
        <v>54</v>
      </c>
      <c r="C18" s="40">
        <f>+C15</f>
        <v>58881.87587474049</v>
      </c>
      <c r="D18" s="41">
        <f>C16</f>
        <v>0.2955857579031237</v>
      </c>
      <c r="E18" s="14" t="s">
        <v>34</v>
      </c>
      <c r="F18" s="21">
        <f>ROUND(2*(F16-$C$15)/$C$16,0)/2+F15</f>
        <v>3468.5</v>
      </c>
    </row>
    <row r="19" spans="1:19" ht="13.5" thickBot="1">
      <c r="A19" s="5" t="s">
        <v>55</v>
      </c>
      <c r="C19" s="42">
        <f>+D15</f>
        <v>58881.876146377675</v>
      </c>
      <c r="D19" s="43">
        <f>+D16</f>
        <v>0.2955862884361708</v>
      </c>
      <c r="E19" s="14" t="s">
        <v>30</v>
      </c>
      <c r="F19" s="18">
        <f>+$C$15+$C$16*F18-15018.5-$C$5/24</f>
        <v>44889.01090936081</v>
      </c>
      <c r="S19">
        <f>SQRT(SUM(S21:S50)/(COUNT(S21:S50)-1))</f>
        <v>1</v>
      </c>
    </row>
    <row r="20" spans="1:21" ht="1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48</v>
      </c>
      <c r="I20" s="7" t="s">
        <v>49</v>
      </c>
      <c r="J20" s="7" t="s">
        <v>50</v>
      </c>
      <c r="K20" s="7" t="s">
        <v>51</v>
      </c>
      <c r="L20" s="7" t="s">
        <v>23</v>
      </c>
      <c r="M20" s="7" t="s">
        <v>24</v>
      </c>
      <c r="N20" s="7" t="s">
        <v>25</v>
      </c>
      <c r="O20" s="7" t="s">
        <v>21</v>
      </c>
      <c r="P20" s="44" t="s">
        <v>20</v>
      </c>
      <c r="Q20" s="4" t="s">
        <v>13</v>
      </c>
      <c r="R20" s="45" t="s">
        <v>56</v>
      </c>
      <c r="S20" s="6" t="s">
        <v>57</v>
      </c>
      <c r="T20" s="45" t="s">
        <v>58</v>
      </c>
      <c r="U20" s="46" t="s">
        <v>52</v>
      </c>
    </row>
    <row r="21" spans="1:21" ht="12.75">
      <c r="A21" t="str">
        <f>D7</f>
        <v>VSX</v>
      </c>
      <c r="C21" s="8">
        <f>C$7</f>
        <v>54886.711</v>
      </c>
      <c r="D21" s="8" t="s">
        <v>12</v>
      </c>
      <c r="E21">
        <f aca="true" t="shared" si="1" ref="E21:E26">+(C21-C$7)/C$8</f>
        <v>0</v>
      </c>
      <c r="F21">
        <f aca="true" t="shared" si="2" ref="F21:F36">ROUND(2*E21,0)/2</f>
        <v>0</v>
      </c>
      <c r="G21">
        <f aca="true" t="shared" si="3" ref="G21:G26">+C21-(C$7+F21*C$8)</f>
        <v>0</v>
      </c>
      <c r="I21">
        <f>+G21</f>
        <v>0</v>
      </c>
      <c r="P21" s="47">
        <f>+D$11+D$12*F21+D$13*F21^2</f>
        <v>-0.007561557066695652</v>
      </c>
      <c r="Q21" s="48">
        <f>+C21-15018.5</f>
        <v>39868.211</v>
      </c>
      <c r="R21" s="49">
        <f>+(P21-G21)^2</f>
        <v>5.717714527289495E-05</v>
      </c>
      <c r="S21" s="51">
        <v>0</v>
      </c>
      <c r="T21" s="49">
        <f>+S21*R21</f>
        <v>0</v>
      </c>
      <c r="U21" s="50"/>
    </row>
    <row r="22" spans="1:20" ht="12.75">
      <c r="A22" s="29" t="s">
        <v>38</v>
      </c>
      <c r="B22" s="30" t="s">
        <v>39</v>
      </c>
      <c r="C22" s="29">
        <v>55259.8858</v>
      </c>
      <c r="D22" s="29">
        <v>0.0005</v>
      </c>
      <c r="E22">
        <f t="shared" si="1"/>
        <v>1262.487186513593</v>
      </c>
      <c r="F22">
        <f t="shared" si="2"/>
        <v>1262.5</v>
      </c>
      <c r="G22">
        <f t="shared" si="3"/>
        <v>-0.003787500005273614</v>
      </c>
      <c r="K22">
        <f>+G22</f>
        <v>-0.003787500005273614</v>
      </c>
      <c r="P22" s="47">
        <f aca="true" t="shared" si="4" ref="P22:P36">+D$11+D$12*F22+D$13*F22^2</f>
        <v>-0.0033961793518599167</v>
      </c>
      <c r="Q22" s="2">
        <f>+C22-15018.5</f>
        <v>40241.3858</v>
      </c>
      <c r="R22" s="49">
        <f aca="true" t="shared" si="5" ref="R22:R36">+(P22-G22)^2</f>
        <v>1.531318537881231E-07</v>
      </c>
      <c r="S22" s="51">
        <v>1</v>
      </c>
      <c r="T22" s="49">
        <f aca="true" t="shared" si="6" ref="T22:T36">+S22*R22</f>
        <v>1.531318537881231E-07</v>
      </c>
    </row>
    <row r="23" spans="1:20" ht="12.75">
      <c r="A23" s="29" t="s">
        <v>40</v>
      </c>
      <c r="B23" s="30" t="s">
        <v>41</v>
      </c>
      <c r="C23" s="29">
        <v>55589.9139</v>
      </c>
      <c r="D23" s="29">
        <v>0.0003</v>
      </c>
      <c r="E23">
        <f t="shared" si="1"/>
        <v>2379.0048276818557</v>
      </c>
      <c r="F23">
        <f t="shared" si="2"/>
        <v>2379</v>
      </c>
      <c r="G23">
        <f t="shared" si="3"/>
        <v>0.0014269999956013635</v>
      </c>
      <c r="K23">
        <f>+G23</f>
        <v>0.0014269999956013635</v>
      </c>
      <c r="P23" s="47">
        <f t="shared" si="4"/>
        <v>-0.0001259156183535436</v>
      </c>
      <c r="Q23" s="2">
        <f>+C23-15018.5</f>
        <v>40571.4139</v>
      </c>
      <c r="R23" s="49">
        <f t="shared" si="5"/>
        <v>2.411546904064946E-06</v>
      </c>
      <c r="S23" s="51">
        <v>1</v>
      </c>
      <c r="T23" s="49">
        <f t="shared" si="6"/>
        <v>2.411546904064946E-06</v>
      </c>
    </row>
    <row r="24" spans="1:20" ht="12.75">
      <c r="A24" s="29" t="s">
        <v>40</v>
      </c>
      <c r="B24" s="30" t="s">
        <v>39</v>
      </c>
      <c r="C24" s="29">
        <v>55663.6625</v>
      </c>
      <c r="D24" s="29">
        <v>0.0003</v>
      </c>
      <c r="E24">
        <f t="shared" si="1"/>
        <v>2628.50362160716</v>
      </c>
      <c r="F24">
        <f t="shared" si="2"/>
        <v>2628.5</v>
      </c>
      <c r="G24">
        <f t="shared" si="3"/>
        <v>0.0010704999949666671</v>
      </c>
      <c r="K24">
        <f>+G24</f>
        <v>0.0010704999949666671</v>
      </c>
      <c r="P24" s="47">
        <f t="shared" si="4"/>
        <v>0.0005518315698216517</v>
      </c>
      <c r="Q24" s="2">
        <f>+C24-15018.5</f>
        <v>40645.1625</v>
      </c>
      <c r="R24" s="49">
        <f t="shared" si="5"/>
        <v>2.690169352424105E-07</v>
      </c>
      <c r="S24" s="51">
        <v>1</v>
      </c>
      <c r="T24" s="49">
        <f t="shared" si="6"/>
        <v>2.690169352424105E-07</v>
      </c>
    </row>
    <row r="25" spans="1:20" ht="12.75">
      <c r="A25" s="31" t="s">
        <v>42</v>
      </c>
      <c r="B25" s="32" t="s">
        <v>41</v>
      </c>
      <c r="C25" s="31">
        <v>56014.6728</v>
      </c>
      <c r="D25" s="31">
        <v>0.0008</v>
      </c>
      <c r="E25">
        <f t="shared" si="1"/>
        <v>3816.0061166424684</v>
      </c>
      <c r="F25">
        <f t="shared" si="2"/>
        <v>3816</v>
      </c>
      <c r="G25">
        <f t="shared" si="3"/>
        <v>0.001808000000892207</v>
      </c>
      <c r="K25">
        <f>+G25</f>
        <v>0.001808000000892207</v>
      </c>
      <c r="P25" s="47">
        <f t="shared" si="4"/>
        <v>0.003511985135380128</v>
      </c>
      <c r="Q25" s="2">
        <f>+C25-15018.5</f>
        <v>40996.1728</v>
      </c>
      <c r="R25" s="49">
        <f t="shared" si="5"/>
        <v>2.9035653385558187E-06</v>
      </c>
      <c r="S25" s="51">
        <v>1</v>
      </c>
      <c r="T25" s="49">
        <f t="shared" si="6"/>
        <v>2.9035653385558187E-06</v>
      </c>
    </row>
    <row r="26" spans="1:20" ht="12.75">
      <c r="A26" s="31" t="s">
        <v>42</v>
      </c>
      <c r="B26" s="32" t="s">
        <v>39</v>
      </c>
      <c r="C26" s="31">
        <v>55959.8423</v>
      </c>
      <c r="D26" s="31">
        <v>0.0009</v>
      </c>
      <c r="E26">
        <f t="shared" si="1"/>
        <v>3630.5091225256647</v>
      </c>
      <c r="F26">
        <f t="shared" si="2"/>
        <v>3630.5</v>
      </c>
      <c r="G26">
        <f t="shared" si="3"/>
        <v>0.0026964999924530275</v>
      </c>
      <c r="K26">
        <f>+G26</f>
        <v>0.0026964999924530275</v>
      </c>
      <c r="P26" s="47">
        <f t="shared" si="4"/>
        <v>0.0030785077298512912</v>
      </c>
      <c r="Q26" s="2">
        <f>+C26-15018.5</f>
        <v>40941.3423</v>
      </c>
      <c r="R26" s="49">
        <f t="shared" si="5"/>
        <v>1.459299114321408E-07</v>
      </c>
      <c r="S26" s="51">
        <v>1</v>
      </c>
      <c r="T26" s="49">
        <f t="shared" si="6"/>
        <v>1.459299114321408E-07</v>
      </c>
    </row>
    <row r="27" spans="1:20" ht="12.75">
      <c r="A27" s="34" t="s">
        <v>47</v>
      </c>
      <c r="B27" s="3" t="s">
        <v>41</v>
      </c>
      <c r="C27" s="33">
        <v>58551.706264000386</v>
      </c>
      <c r="D27" s="35">
        <v>0.00023269937687926884</v>
      </c>
      <c r="E27">
        <f aca="true" t="shared" si="7" ref="E27:E36">+(C27-C$7)/C$8</f>
        <v>12399.040769723915</v>
      </c>
      <c r="F27">
        <f t="shared" si="2"/>
        <v>12399</v>
      </c>
      <c r="G27">
        <f aca="true" t="shared" si="8" ref="G27:G36">+C27-(C$7+F27*C$8)</f>
        <v>0.012051000383507926</v>
      </c>
      <c r="K27">
        <f aca="true" t="shared" si="9" ref="K27:K36">+G27</f>
        <v>0.012051000383507926</v>
      </c>
      <c r="O27">
        <f aca="true" t="shared" si="10" ref="O27:O36">+C$11+C$12*$F27</f>
        <v>0.012370162702325571</v>
      </c>
      <c r="P27" s="47">
        <f t="shared" si="4"/>
        <v>0.011854998924274985</v>
      </c>
      <c r="Q27" s="2">
        <f aca="true" t="shared" si="11" ref="Q27:Q36">+C27-15018.5</f>
        <v>43533.206264000386</v>
      </c>
      <c r="R27" s="49">
        <f t="shared" si="5"/>
        <v>3.8416572021442264E-08</v>
      </c>
      <c r="S27" s="51">
        <v>1</v>
      </c>
      <c r="T27" s="49">
        <f t="shared" si="6"/>
        <v>3.8416572021442264E-08</v>
      </c>
    </row>
    <row r="28" spans="1:20" ht="12.75">
      <c r="A28" s="34" t="s">
        <v>47</v>
      </c>
      <c r="B28" s="3" t="s">
        <v>39</v>
      </c>
      <c r="C28" s="33">
        <v>58557.76601099968</v>
      </c>
      <c r="D28" s="35">
        <v>0.00045458393675486996</v>
      </c>
      <c r="E28">
        <f t="shared" si="7"/>
        <v>12419.541492013102</v>
      </c>
      <c r="F28">
        <f t="shared" si="2"/>
        <v>12419.5</v>
      </c>
      <c r="G28">
        <f t="shared" si="8"/>
        <v>0.012264499673619866</v>
      </c>
      <c r="K28">
        <f t="shared" si="9"/>
        <v>0.012264499673619866</v>
      </c>
      <c r="O28">
        <f t="shared" si="10"/>
        <v>0.012344699716361493</v>
      </c>
      <c r="P28" s="47">
        <f t="shared" si="4"/>
        <v>0.011847474493197313</v>
      </c>
      <c r="Q28" s="2">
        <f t="shared" si="11"/>
        <v>43539.26601099968</v>
      </c>
      <c r="R28" s="49">
        <f t="shared" si="5"/>
        <v>1.7391000110646315E-07</v>
      </c>
      <c r="S28" s="51">
        <v>1</v>
      </c>
      <c r="T28" s="49">
        <f t="shared" si="6"/>
        <v>1.7391000110646315E-07</v>
      </c>
    </row>
    <row r="29" spans="1:20" ht="12.75">
      <c r="A29" s="34" t="s">
        <v>47</v>
      </c>
      <c r="B29" s="3" t="s">
        <v>41</v>
      </c>
      <c r="C29" s="33">
        <v>58559.68774366705</v>
      </c>
      <c r="D29" s="35">
        <v>0.00020566153424174068</v>
      </c>
      <c r="E29">
        <f t="shared" si="7"/>
        <v>12426.042903331489</v>
      </c>
      <c r="F29">
        <f t="shared" si="2"/>
        <v>12426</v>
      </c>
      <c r="G29">
        <f t="shared" si="8"/>
        <v>0.012681667045399081</v>
      </c>
      <c r="K29">
        <f t="shared" si="9"/>
        <v>0.012681667045399081</v>
      </c>
      <c r="O29">
        <f t="shared" si="10"/>
        <v>0.012336626086665565</v>
      </c>
      <c r="P29" s="47">
        <f t="shared" si="4"/>
        <v>0.011845061382422518</v>
      </c>
      <c r="Q29" s="2">
        <f t="shared" si="11"/>
        <v>43541.18774366705</v>
      </c>
      <c r="R29" s="49">
        <f t="shared" si="5"/>
        <v>6.999090353244549E-07</v>
      </c>
      <c r="S29" s="51">
        <v>1</v>
      </c>
      <c r="T29" s="49">
        <f t="shared" si="6"/>
        <v>6.999090353244549E-07</v>
      </c>
    </row>
    <row r="30" spans="1:20" ht="12.75">
      <c r="A30" s="34" t="s">
        <v>47</v>
      </c>
      <c r="B30" s="3" t="s">
        <v>41</v>
      </c>
      <c r="C30" s="33">
        <v>58561.75654666638</v>
      </c>
      <c r="D30" s="35">
        <v>0.00012771017535376296</v>
      </c>
      <c r="E30">
        <f t="shared" si="7"/>
        <v>12433.041868101023</v>
      </c>
      <c r="F30">
        <f t="shared" si="2"/>
        <v>12433</v>
      </c>
      <c r="G30">
        <f t="shared" si="8"/>
        <v>0.012375666374282446</v>
      </c>
      <c r="K30">
        <f t="shared" si="9"/>
        <v>0.012375666374282446</v>
      </c>
      <c r="O30">
        <f t="shared" si="10"/>
        <v>0.01232793140853149</v>
      </c>
      <c r="P30" s="47">
        <f t="shared" si="4"/>
        <v>0.01184244793936617</v>
      </c>
      <c r="Q30" s="2">
        <f t="shared" si="11"/>
        <v>43543.25654666638</v>
      </c>
      <c r="R30" s="49">
        <f t="shared" si="5"/>
        <v>2.843218993345619E-07</v>
      </c>
      <c r="S30" s="51">
        <v>1</v>
      </c>
      <c r="T30" s="49">
        <f t="shared" si="6"/>
        <v>2.843218993345619E-07</v>
      </c>
    </row>
    <row r="31" spans="1:20" ht="12.75">
      <c r="A31" s="34" t="s">
        <v>47</v>
      </c>
      <c r="B31" s="3" t="s">
        <v>39</v>
      </c>
      <c r="C31" s="33">
        <v>58872.860856666695</v>
      </c>
      <c r="D31" s="35">
        <v>0.0002616031770109496</v>
      </c>
      <c r="E31">
        <f t="shared" si="7"/>
        <v>13485.538459630134</v>
      </c>
      <c r="F31">
        <f t="shared" si="2"/>
        <v>13485.5</v>
      </c>
      <c r="G31">
        <f t="shared" si="8"/>
        <v>0.011368166691681836</v>
      </c>
      <c r="K31">
        <f t="shared" si="9"/>
        <v>0.011368166691681836</v>
      </c>
      <c r="O31">
        <f t="shared" si="10"/>
        <v>0.011020624446229442</v>
      </c>
      <c r="P31" s="47">
        <f t="shared" si="4"/>
        <v>0.011275935577477032</v>
      </c>
      <c r="Q31" s="2">
        <f t="shared" si="11"/>
        <v>43854.360856666695</v>
      </c>
      <c r="R31" s="49">
        <f t="shared" si="5"/>
        <v>8.506578427459507E-09</v>
      </c>
      <c r="S31" s="51">
        <v>1</v>
      </c>
      <c r="T31" s="49">
        <f t="shared" si="6"/>
        <v>8.506578427459507E-09</v>
      </c>
    </row>
    <row r="32" spans="1:20" ht="12.75">
      <c r="A32" s="34" t="s">
        <v>47</v>
      </c>
      <c r="B32" s="3" t="s">
        <v>39</v>
      </c>
      <c r="C32" s="33">
        <v>58874.92969566677</v>
      </c>
      <c r="D32" s="35">
        <v>0.00023187760181229714</v>
      </c>
      <c r="E32">
        <f t="shared" si="7"/>
        <v>13492.537546193726</v>
      </c>
      <c r="F32">
        <f t="shared" si="2"/>
        <v>13492.5</v>
      </c>
      <c r="G32">
        <f t="shared" si="8"/>
        <v>0.011098166767624207</v>
      </c>
      <c r="K32">
        <f t="shared" si="9"/>
        <v>0.011098166767624207</v>
      </c>
      <c r="O32">
        <f t="shared" si="10"/>
        <v>0.011011929768095365</v>
      </c>
      <c r="P32" s="47">
        <f t="shared" si="4"/>
        <v>0.011271013464175705</v>
      </c>
      <c r="Q32" s="2">
        <f t="shared" si="11"/>
        <v>43856.42969566677</v>
      </c>
      <c r="R32" s="49">
        <f t="shared" si="5"/>
        <v>2.987598050876558E-08</v>
      </c>
      <c r="S32" s="51">
        <v>1</v>
      </c>
      <c r="T32" s="49">
        <f t="shared" si="6"/>
        <v>2.987598050876558E-08</v>
      </c>
    </row>
    <row r="33" spans="1:20" ht="12.75">
      <c r="A33" s="34" t="s">
        <v>47</v>
      </c>
      <c r="B33" s="3" t="s">
        <v>41</v>
      </c>
      <c r="C33" s="33">
        <v>58876.850860666484</v>
      </c>
      <c r="D33" s="35">
        <v>0.0002723947299212833</v>
      </c>
      <c r="E33">
        <f t="shared" si="7"/>
        <v>13499.037037036409</v>
      </c>
      <c r="F33">
        <f t="shared" si="2"/>
        <v>13499</v>
      </c>
      <c r="G33">
        <f t="shared" si="8"/>
        <v>0.010947666480205953</v>
      </c>
      <c r="K33">
        <f t="shared" si="9"/>
        <v>0.010947666480205953</v>
      </c>
      <c r="O33">
        <f t="shared" si="10"/>
        <v>0.01100385613839944</v>
      </c>
      <c r="P33" s="47">
        <f t="shared" si="4"/>
        <v>0.01126642927261838</v>
      </c>
      <c r="Q33" s="2">
        <f t="shared" si="11"/>
        <v>43858.350860666484</v>
      </c>
      <c r="R33" s="49">
        <f t="shared" si="5"/>
        <v>1.0160971782656838E-07</v>
      </c>
      <c r="S33" s="51">
        <v>1</v>
      </c>
      <c r="T33" s="49">
        <f t="shared" si="6"/>
        <v>1.0160971782656838E-07</v>
      </c>
    </row>
    <row r="34" spans="1:20" ht="12.75">
      <c r="A34" s="34" t="s">
        <v>47</v>
      </c>
      <c r="B34" s="3" t="s">
        <v>39</v>
      </c>
      <c r="C34" s="33">
        <v>58877.8858053335</v>
      </c>
      <c r="D34" s="35">
        <v>0.00017017148213885116</v>
      </c>
      <c r="E34">
        <f t="shared" si="7"/>
        <v>13502.538357009937</v>
      </c>
      <c r="F34">
        <f t="shared" si="2"/>
        <v>13502.5</v>
      </c>
      <c r="G34">
        <f t="shared" si="8"/>
        <v>0.011337833493598737</v>
      </c>
      <c r="K34">
        <f t="shared" si="9"/>
        <v>0.011337833493598737</v>
      </c>
      <c r="O34">
        <f t="shared" si="10"/>
        <v>0.0109995087993324</v>
      </c>
      <c r="P34" s="47">
        <f t="shared" si="4"/>
        <v>0.01126395541423323</v>
      </c>
      <c r="Q34" s="2">
        <f t="shared" si="11"/>
        <v>43859.3858053335</v>
      </c>
      <c r="R34" s="49">
        <f t="shared" si="5"/>
        <v>5.457970610736102E-09</v>
      </c>
      <c r="S34" s="51">
        <v>1</v>
      </c>
      <c r="T34" s="49">
        <f t="shared" si="6"/>
        <v>5.457970610736102E-09</v>
      </c>
    </row>
    <row r="35" spans="1:20" ht="12.75">
      <c r="A35" s="34" t="s">
        <v>47</v>
      </c>
      <c r="B35" s="3" t="s">
        <v>39</v>
      </c>
      <c r="C35" s="33">
        <v>58880.84144266695</v>
      </c>
      <c r="D35" s="35">
        <v>0.0004294422739631797</v>
      </c>
      <c r="E35">
        <f t="shared" si="7"/>
        <v>13512.537569876027</v>
      </c>
      <c r="F35">
        <f t="shared" si="2"/>
        <v>13512.5</v>
      </c>
      <c r="G35">
        <f t="shared" si="8"/>
        <v>0.01110516694461694</v>
      </c>
      <c r="K35">
        <f t="shared" si="9"/>
        <v>0.01110516694461694</v>
      </c>
      <c r="O35">
        <f t="shared" si="10"/>
        <v>0.010987087830569436</v>
      </c>
      <c r="P35" s="47">
        <f t="shared" si="4"/>
        <v>0.011256866235453092</v>
      </c>
      <c r="Q35" s="2">
        <f t="shared" si="11"/>
        <v>43862.34144266695</v>
      </c>
      <c r="R35" s="49">
        <f t="shared" si="5"/>
        <v>2.301267484019142E-08</v>
      </c>
      <c r="S35" s="51">
        <v>1</v>
      </c>
      <c r="T35" s="49">
        <f t="shared" si="6"/>
        <v>2.301267484019142E-08</v>
      </c>
    </row>
    <row r="36" spans="1:20" ht="12.75">
      <c r="A36" s="34" t="s">
        <v>47</v>
      </c>
      <c r="B36" s="3" t="s">
        <v>41</v>
      </c>
      <c r="C36" s="33">
        <v>58881.87504733354</v>
      </c>
      <c r="D36" s="35">
        <v>0.00018424259370008154</v>
      </c>
      <c r="E36">
        <f t="shared" si="7"/>
        <v>13516.03435649584</v>
      </c>
      <c r="F36">
        <f t="shared" si="2"/>
        <v>13516</v>
      </c>
      <c r="G36">
        <f t="shared" si="8"/>
        <v>0.010155333533475641</v>
      </c>
      <c r="K36">
        <f t="shared" si="9"/>
        <v>0.010155333533475641</v>
      </c>
      <c r="O36">
        <f t="shared" si="10"/>
        <v>0.010982740491502399</v>
      </c>
      <c r="P36" s="47">
        <f t="shared" si="4"/>
        <v>0.01125437766869215</v>
      </c>
      <c r="Q36" s="2">
        <f t="shared" si="11"/>
        <v>43863.37504733354</v>
      </c>
      <c r="R36" s="49">
        <f t="shared" si="5"/>
        <v>1.2078980111538032E-06</v>
      </c>
      <c r="S36" s="51">
        <v>1</v>
      </c>
      <c r="T36" s="49">
        <f t="shared" si="6"/>
        <v>1.2078980111538032E-06</v>
      </c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2022-11-23T06:46:40Z</dcterms:modified>
  <cp:category/>
  <cp:version/>
  <cp:contentType/>
  <cp:contentStatus/>
</cp:coreProperties>
</file>