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2760" windowWidth="9435" windowHeight="132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<sst xmlns="http://schemas.openxmlformats.org/spreadsheetml/2006/main" count="153" uniqueCount="112">
  <si>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</si>
  <si>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</si>
  <si>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</si>
  <si>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</si>
  <si>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</si>
  <si>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</si>
  <si>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</si>
  <si>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</si>
  <si>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</si>
  <si>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</si>
  <si>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</si>
  <si>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</si>
  <si>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</si>
  <si>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</si>
  <si>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</si>
  <si>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</si>
  <si>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</si>
  <si>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</si>
  <si>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</si>
  <si>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</si>
  <si>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</si>
  <si>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</si>
  <si>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</si>
  <si>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</si>
  <si>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</si>
  <si>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</si>
  <si>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</si>
  <si>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</si>
  <si>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</si>
  <si>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Bull.109</t>
  </si>
  <si>
    <t>B</t>
  </si>
  <si>
    <t>Blaettler E</t>
  </si>
  <si>
    <t>BBSAG Bull.113</t>
  </si>
  <si>
    <t>II</t>
  </si>
  <si>
    <t>BBSAG</t>
  </si>
  <si>
    <t>I</t>
  </si>
  <si>
    <t>IBVS 5263</t>
  </si>
  <si>
    <t>IBVS</t>
  </si>
  <si>
    <t>IBVS 5583</t>
  </si>
  <si>
    <t>EW/KW</t>
  </si>
  <si>
    <t># of data points:</t>
  </si>
  <si>
    <t>IBVS 5657</t>
  </si>
  <si>
    <t>IBVS 5731</t>
  </si>
  <si>
    <t>EI Sge / ??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</si>
  <si>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</si>
  <si>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</si>
  <si>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</si>
  <si>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</si>
  <si>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</si>
  <si>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</si>
  <si>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</si>
  <si>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</si>
  <si>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</si>
  <si>
    <t>OEJV 0137</t>
  </si>
  <si>
    <t>OEJV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</si>
  <si>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</si>
  <si>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</si>
  <si>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</si>
  <si>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</si>
  <si>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</si>
  <si>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</si>
  <si>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</si>
  <si>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</si>
  <si>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</si>
  <si>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</si>
  <si>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</si>
  <si>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2449930.419 </t>
  </si>
  <si>
    <t> 31.07.1995 22:03 </t>
  </si>
  <si>
    <t> -0.062 </t>
  </si>
  <si>
    <t>E </t>
  </si>
  <si>
    <t>?</t>
  </si>
  <si>
    <t> R.Diethelm </t>
  </si>
  <si>
    <t> BBS 109 </t>
  </si>
  <si>
    <t>2450315.3697 </t>
  </si>
  <si>
    <t> 19.08.1996 20:52 </t>
  </si>
  <si>
    <t> -0.0588 </t>
  </si>
  <si>
    <t> BBS 113 </t>
  </si>
  <si>
    <t>2451378.3961 </t>
  </si>
  <si>
    <t> 18.07.1999 21:30 </t>
  </si>
  <si>
    <t> -0.0554 </t>
  </si>
  <si>
    <t> M.Zejda </t>
  </si>
  <si>
    <t>IBVS 5263 </t>
  </si>
  <si>
    <t>2451378.5884 </t>
  </si>
  <si>
    <t> 19.07.1999 02:07 </t>
  </si>
  <si>
    <t> -0.0572 </t>
  </si>
  <si>
    <t>2451394.5121 </t>
  </si>
  <si>
    <t> 04.08.1999 00:17 </t>
  </si>
  <si>
    <t> -0.0517 </t>
  </si>
  <si>
    <t>2452141.4987 </t>
  </si>
  <si>
    <t> 19.08.2001 23:58 </t>
  </si>
  <si>
    <t> -0.0543 </t>
  </si>
  <si>
    <t>R</t>
  </si>
  <si>
    <t>IBVS 5583 </t>
  </si>
  <si>
    <t>2453206.4546 </t>
  </si>
  <si>
    <t> 19.07.2004 22:54 </t>
  </si>
  <si>
    <t> -0.0626 </t>
  </si>
  <si>
    <t>o</t>
  </si>
  <si>
    <t> F.Agerer </t>
  </si>
  <si>
    <t>BAVM 173 </t>
  </si>
  <si>
    <t>2453565.3891 </t>
  </si>
  <si>
    <t> 13.07.2005 21:20 </t>
  </si>
  <si>
    <t> -0.0634 </t>
  </si>
  <si>
    <t>C </t>
  </si>
  <si>
    <t>-I</t>
  </si>
  <si>
    <t> Agerer </t>
  </si>
  <si>
    <t>BAVM 178 </t>
  </si>
  <si>
    <t>2455388.4054 </t>
  </si>
  <si>
    <t> 10.07.2010 21:43 </t>
  </si>
  <si>
    <t>48072.5</t>
  </si>
  <si>
    <t> -0.0656 </t>
  </si>
  <si>
    <t> V.Pribík </t>
  </si>
  <si>
    <t>OEJV 0137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</si>
</sst>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 Sge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0.003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0.0014</c:v>
                  </c:pt>
                  <c:pt idx="5">
                    <c:v>0.0019</c:v>
                  </c:pt>
                  <c:pt idx="6">
                    <c:v>0.0075</c:v>
                  </c:pt>
                  <c:pt idx="7">
                    <c:v>0.003</c:v>
                  </c:pt>
                  <c:pt idx="8">
                    <c:v>0.003</c:v>
                  </c:pt>
                  <c:pt idx="9">
                    <c:v>0.0007</c:v>
                  </c:pt>
                  <c:pt idx="10">
                    <c:v>0.0002</c:v>
                  </c:pt>
                  <c:pt idx="11">
                    <c:v>0.001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38222364"/>
        <c:axId val="8456957"/>
      </c:scatterChart>
      <c:valAx>
        <c:axId val="38222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6957"/>
        <c:crosses val="autoZero"/>
        <c:crossBetween val="midCat"/>
        <c:dispUnits/>
      </c:valAx>
      <c:valAx>
        <c:axId val="8456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223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869"/>
          <c:w val="0.781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9525</xdr:rowOff>
    </xdr:from>
    <xdr:to>
      <xdr:col>13</xdr:col>
      <xdr:colOff>57150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38575" y="9525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www.konkoly.hu/cgi-bin/IBVS?5583" TargetMode="External" /><Relationship Id="rId5" Type="http://schemas.openxmlformats.org/officeDocument/2006/relationships/hyperlink" Target="http://www.bav-astro.de/sfs/BAVM_link.php?BAVMnr=173" TargetMode="External" /><Relationship Id="rId6" Type="http://schemas.openxmlformats.org/officeDocument/2006/relationships/hyperlink" Target="http://www.bav-astro.de/sfs/BAVM_link.php?BAVMnr=178" TargetMode="External" /><Relationship Id="rId7" Type="http://schemas.openxmlformats.org/officeDocument/2006/relationships/hyperlink" Target="http://var.astro.cz/oejv/issues/oejv013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16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24</v>
      </c>
      <c r="B2" s="14" t="s">
        <v>39</v>
      </c>
    </row>
    <row r="4" spans="1:4" ht="12.75">
      <c r="A4" s="7" t="s">
        <v>0</v>
      </c>
      <c r="C4" s="3">
        <v>36724.419</v>
      </c>
      <c r="D4" s="4">
        <v>0.388248</v>
      </c>
    </row>
    <row r="6" ht="12.75">
      <c r="A6" s="7" t="s">
        <v>1</v>
      </c>
    </row>
    <row r="7" spans="1:3" ht="12.75">
      <c r="A7" t="s">
        <v>2</v>
      </c>
      <c r="C7">
        <f>+C4</f>
        <v>36724.419</v>
      </c>
    </row>
    <row r="8" spans="1:3" ht="12.75">
      <c r="A8" t="s">
        <v>3</v>
      </c>
      <c r="C8">
        <f>+D4</f>
        <v>0.388248</v>
      </c>
    </row>
    <row r="9" spans="1:5" ht="12.75">
      <c r="A9" s="20" t="s">
        <v>44</v>
      </c>
      <c r="B9" s="18"/>
      <c r="C9" s="21">
        <v>-9.5</v>
      </c>
      <c r="D9" s="18" t="s">
        <v>45</v>
      </c>
      <c r="E9" s="18"/>
    </row>
    <row r="10" spans="1:5" ht="13.5" thickBot="1">
      <c r="A10" s="18"/>
      <c r="B10" s="18"/>
      <c r="C10" s="6" t="s">
        <v>20</v>
      </c>
      <c r="D10" s="6" t="s">
        <v>21</v>
      </c>
      <c r="E10" s="18"/>
    </row>
    <row r="11" spans="1:7" ht="12.75">
      <c r="A11" s="18" t="s">
        <v>16</v>
      </c>
      <c r="B11" s="18"/>
      <c r="C11" s="34">
        <f ca="1">INTERCEPT(INDIRECT($G$11):G991,INDIRECT($F$11):F991)</f>
        <v>-0.03924662430411671</v>
      </c>
      <c r="D11" s="5"/>
      <c r="E11" s="18"/>
      <c r="F11" s="35" t="str">
        <f>"F"&amp;E19</f>
        <v>F21</v>
      </c>
      <c r="G11" s="11" t="str">
        <f>"G"&amp;E19</f>
        <v>G21</v>
      </c>
    </row>
    <row r="12" spans="1:5" ht="12.75">
      <c r="A12" s="18" t="s">
        <v>17</v>
      </c>
      <c r="B12" s="18"/>
      <c r="C12" s="34">
        <f ca="1">SLOPE(INDIRECT($G$11):G991,INDIRECT($F$11):F991)</f>
        <v>-4.936797922935834E-07</v>
      </c>
      <c r="D12" s="5"/>
      <c r="E12" s="18"/>
    </row>
    <row r="13" spans="1:5" ht="12.75">
      <c r="A13" s="18" t="s">
        <v>19</v>
      </c>
      <c r="B13" s="18"/>
      <c r="C13" s="5" t="s">
        <v>14</v>
      </c>
      <c r="D13" s="24" t="s">
        <v>50</v>
      </c>
      <c r="E13" s="21">
        <v>1</v>
      </c>
    </row>
    <row r="14" spans="1:5" ht="12.75">
      <c r="A14" s="18"/>
      <c r="B14" s="18"/>
      <c r="C14" s="18"/>
      <c r="D14" s="24" t="s">
        <v>46</v>
      </c>
      <c r="E14" s="25">
        <f ca="1">NOW()+15018.5+$C$9/24</f>
        <v>59906.84092592592</v>
      </c>
    </row>
    <row r="15" spans="1:5" ht="12.75">
      <c r="A15" s="22" t="s">
        <v>18</v>
      </c>
      <c r="B15" s="18"/>
      <c r="C15" s="23">
        <f>(C7+C11)+(C8+C12)*INT(MAX(F21:F3532))</f>
        <v>55388.21387720072</v>
      </c>
      <c r="D15" s="24" t="s">
        <v>51</v>
      </c>
      <c r="E15" s="25">
        <f>ROUND(2*(E14-$C$7)/$C$8,0)/2+E13</f>
        <v>59711.5</v>
      </c>
    </row>
    <row r="16" spans="1:5" ht="12.75">
      <c r="A16" s="26" t="s">
        <v>4</v>
      </c>
      <c r="B16" s="18"/>
      <c r="C16" s="27">
        <f>+C8+C12</f>
        <v>0.3882475063202077</v>
      </c>
      <c r="D16" s="24" t="s">
        <v>47</v>
      </c>
      <c r="E16" s="11">
        <f>ROUND(2*(E14-$C$15)/$C$16,0)/2+E13</f>
        <v>11639.5</v>
      </c>
    </row>
    <row r="17" spans="1:5" ht="13.5" thickBot="1">
      <c r="A17" s="24" t="s">
        <v>40</v>
      </c>
      <c r="B17" s="18"/>
      <c r="C17" s="18">
        <f>COUNT(C21:C2190)</f>
        <v>12</v>
      </c>
      <c r="D17" s="24" t="s">
        <v>48</v>
      </c>
      <c r="E17" s="28">
        <f>+$C$15+$C$16*E16-15018.5-$C$9/24</f>
        <v>44889.11656034811</v>
      </c>
    </row>
    <row r="18" spans="1:5" ht="14.25" thickBot="1" thickTop="1">
      <c r="A18" s="26" t="s">
        <v>5</v>
      </c>
      <c r="B18" s="18"/>
      <c r="C18" s="29">
        <f>+C15</f>
        <v>55388.21387720072</v>
      </c>
      <c r="D18" s="30">
        <f>+C16</f>
        <v>0.3882475063202077</v>
      </c>
      <c r="E18" s="31" t="s">
        <v>49</v>
      </c>
    </row>
    <row r="19" spans="1:5" ht="13.5" thickTop="1">
      <c r="A19" s="36" t="s">
        <v>52</v>
      </c>
      <c r="B19"/>
      <c r="E19" s="37">
        <v>21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34</v>
      </c>
      <c r="J20" s="9" t="s">
        <v>37</v>
      </c>
      <c r="K20" s="9" t="s">
        <v>54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C21" s="32">
        <v>36724.419</v>
      </c>
      <c r="D21" s="32" t="s">
        <v>14</v>
      </c>
      <c r="E21">
        <f aca="true" t="shared" si="0" ref="E21:E32">+(C21-C$7)/C$8</f>
        <v>0</v>
      </c>
      <c r="F21">
        <f aca="true" t="shared" si="1" ref="F21:F32">ROUND(2*E21,0)/2</f>
        <v>0</v>
      </c>
      <c r="H21" s="11">
        <v>0</v>
      </c>
      <c r="O21">
        <f aca="true" t="shared" si="2" ref="O21:O32">+C$11+C$12*$F21</f>
        <v>-0.03924662430411671</v>
      </c>
      <c r="Q21" s="2">
        <f aca="true" t="shared" si="3" ref="Q21:Q32">+C21-15018.5</f>
        <v>21705.919</v>
      </c>
    </row>
    <row r="22" spans="1:31" ht="12.75">
      <c r="A22" t="s">
        <v>29</v>
      </c>
      <c r="B22" s="5" t="s">
        <v>33</v>
      </c>
      <c r="C22" s="32">
        <v>49930.419</v>
      </c>
      <c r="D22" s="32">
        <v>0.003</v>
      </c>
      <c r="E22">
        <f t="shared" si="0"/>
        <v>34014.34134882859</v>
      </c>
      <c r="F22">
        <f t="shared" si="1"/>
        <v>34014.5</v>
      </c>
      <c r="G22">
        <f aca="true" t="shared" si="4" ref="G22:G32">+C22-(C$7+F22*C$8)</f>
        <v>-0.061595999999553896</v>
      </c>
      <c r="I22">
        <f>+G22</f>
        <v>-0.061595999999553896</v>
      </c>
      <c r="O22">
        <f t="shared" si="2"/>
        <v>-0.056038895599086806</v>
      </c>
      <c r="Q22" s="2">
        <f t="shared" si="3"/>
        <v>34911.919</v>
      </c>
      <c r="AA22">
        <v>8</v>
      </c>
      <c r="AC22" t="s">
        <v>28</v>
      </c>
      <c r="AE22" t="s">
        <v>30</v>
      </c>
    </row>
    <row r="23" spans="1:31" ht="12.75">
      <c r="A23" t="s">
        <v>32</v>
      </c>
      <c r="C23" s="32">
        <v>50315.369</v>
      </c>
      <c r="D23" s="32">
        <v>0.0008</v>
      </c>
      <c r="E23">
        <f t="shared" si="0"/>
        <v>35005.846778347855</v>
      </c>
      <c r="F23">
        <f t="shared" si="1"/>
        <v>35006</v>
      </c>
      <c r="G23">
        <f t="shared" si="4"/>
        <v>-0.05948800000624033</v>
      </c>
      <c r="I23">
        <f>+G23</f>
        <v>-0.05948800000624033</v>
      </c>
      <c r="O23">
        <f t="shared" si="2"/>
        <v>-0.05652837911314589</v>
      </c>
      <c r="Q23" s="2">
        <f t="shared" si="3"/>
        <v>35296.869</v>
      </c>
      <c r="AA23">
        <v>20</v>
      </c>
      <c r="AC23" t="s">
        <v>31</v>
      </c>
      <c r="AE23" t="s">
        <v>30</v>
      </c>
    </row>
    <row r="24" spans="1:17" ht="12.75">
      <c r="A24" s="54" t="s">
        <v>76</v>
      </c>
      <c r="B24" s="55" t="s">
        <v>35</v>
      </c>
      <c r="C24" s="56">
        <v>50315.3697</v>
      </c>
      <c r="D24" s="32"/>
      <c r="E24">
        <f t="shared" si="0"/>
        <v>35005.84858131916</v>
      </c>
      <c r="F24">
        <f t="shared" si="1"/>
        <v>35006</v>
      </c>
      <c r="G24">
        <f t="shared" si="4"/>
        <v>-0.05878800000209594</v>
      </c>
      <c r="L24">
        <f>+G24</f>
        <v>-0.05878800000209594</v>
      </c>
      <c r="O24">
        <f t="shared" si="2"/>
        <v>-0.05652837911314589</v>
      </c>
      <c r="Q24" s="2">
        <f t="shared" si="3"/>
        <v>35296.8697</v>
      </c>
    </row>
    <row r="25" spans="1:17" ht="12.75" customHeight="1">
      <c r="A25" t="s">
        <v>36</v>
      </c>
      <c r="B25" s="10" t="s">
        <v>35</v>
      </c>
      <c r="C25" s="33">
        <v>51378.3961</v>
      </c>
      <c r="D25" s="33">
        <v>0.0014</v>
      </c>
      <c r="E25">
        <f t="shared" si="0"/>
        <v>37743.85727679214</v>
      </c>
      <c r="F25">
        <f t="shared" si="1"/>
        <v>37744</v>
      </c>
      <c r="G25">
        <f t="shared" si="4"/>
        <v>-0.055412000001524575</v>
      </c>
      <c r="J25">
        <f aca="true" t="shared" si="5" ref="J25:J31">+G25</f>
        <v>-0.055412000001524575</v>
      </c>
      <c r="O25">
        <f t="shared" si="2"/>
        <v>-0.05788007438444573</v>
      </c>
      <c r="Q25" s="2">
        <f t="shared" si="3"/>
        <v>36359.8961</v>
      </c>
    </row>
    <row r="26" spans="1:17" ht="12.75" customHeight="1">
      <c r="A26" t="s">
        <v>36</v>
      </c>
      <c r="B26" s="10" t="s">
        <v>33</v>
      </c>
      <c r="C26" s="33">
        <v>51378.5884</v>
      </c>
      <c r="D26" s="33">
        <v>0.0019</v>
      </c>
      <c r="E26">
        <f t="shared" si="0"/>
        <v>37744.35257876409</v>
      </c>
      <c r="F26">
        <f t="shared" si="1"/>
        <v>37744.5</v>
      </c>
      <c r="G26">
        <f t="shared" si="4"/>
        <v>-0.0572360000005574</v>
      </c>
      <c r="J26">
        <f t="shared" si="5"/>
        <v>-0.0572360000005574</v>
      </c>
      <c r="O26">
        <f t="shared" si="2"/>
        <v>-0.05788032122434187</v>
      </c>
      <c r="Q26" s="2">
        <f t="shared" si="3"/>
        <v>36360.0884</v>
      </c>
    </row>
    <row r="27" spans="1:17" ht="12.75" customHeight="1">
      <c r="A27" t="s">
        <v>36</v>
      </c>
      <c r="B27" s="10" t="s">
        <v>33</v>
      </c>
      <c r="C27" s="33">
        <v>51394.5121</v>
      </c>
      <c r="D27" s="33">
        <v>0.0075</v>
      </c>
      <c r="E27">
        <f t="shared" si="0"/>
        <v>37785.36682738868</v>
      </c>
      <c r="F27">
        <f t="shared" si="1"/>
        <v>37785.5</v>
      </c>
      <c r="G27">
        <f t="shared" si="4"/>
        <v>-0.05170400000497466</v>
      </c>
      <c r="J27">
        <f t="shared" si="5"/>
        <v>-0.05170400000497466</v>
      </c>
      <c r="O27">
        <f t="shared" si="2"/>
        <v>-0.057900562095825905</v>
      </c>
      <c r="Q27" s="2">
        <f t="shared" si="3"/>
        <v>36376.0121</v>
      </c>
    </row>
    <row r="28" spans="1:17" ht="12.75">
      <c r="A28" s="12" t="s">
        <v>38</v>
      </c>
      <c r="B28" s="13" t="s">
        <v>33</v>
      </c>
      <c r="C28" s="12">
        <v>52141.4987</v>
      </c>
      <c r="D28" s="17">
        <v>0.003</v>
      </c>
      <c r="E28">
        <f t="shared" si="0"/>
        <v>39709.360254270454</v>
      </c>
      <c r="F28">
        <f t="shared" si="1"/>
        <v>39709.5</v>
      </c>
      <c r="G28">
        <f t="shared" si="4"/>
        <v>-0.05425600000307895</v>
      </c>
      <c r="J28">
        <f t="shared" si="5"/>
        <v>-0.05425600000307895</v>
      </c>
      <c r="O28">
        <f t="shared" si="2"/>
        <v>-0.05885040201619876</v>
      </c>
      <c r="Q28" s="2">
        <f t="shared" si="3"/>
        <v>37122.9987</v>
      </c>
    </row>
    <row r="29" spans="1:17" ht="12.75">
      <c r="A29" s="12" t="s">
        <v>38</v>
      </c>
      <c r="B29" s="13" t="s">
        <v>33</v>
      </c>
      <c r="C29" s="12">
        <v>52141.4987</v>
      </c>
      <c r="D29" s="12">
        <v>0.003</v>
      </c>
      <c r="E29">
        <f t="shared" si="0"/>
        <v>39709.360254270454</v>
      </c>
      <c r="F29">
        <f t="shared" si="1"/>
        <v>39709.5</v>
      </c>
      <c r="G29">
        <f t="shared" si="4"/>
        <v>-0.05425600000307895</v>
      </c>
      <c r="J29">
        <f t="shared" si="5"/>
        <v>-0.05425600000307895</v>
      </c>
      <c r="O29">
        <f t="shared" si="2"/>
        <v>-0.05885040201619876</v>
      </c>
      <c r="Q29" s="2">
        <f t="shared" si="3"/>
        <v>37122.9987</v>
      </c>
    </row>
    <row r="30" spans="1:17" ht="12.75">
      <c r="A30" s="15" t="s">
        <v>41</v>
      </c>
      <c r="B30" s="10"/>
      <c r="C30" s="32">
        <v>53206.4546</v>
      </c>
      <c r="D30" s="32">
        <v>0.0007</v>
      </c>
      <c r="E30">
        <f t="shared" si="0"/>
        <v>42452.338711339136</v>
      </c>
      <c r="F30">
        <f t="shared" si="1"/>
        <v>42452.5</v>
      </c>
      <c r="G30">
        <f t="shared" si="4"/>
        <v>-0.0626200000042445</v>
      </c>
      <c r="J30">
        <f t="shared" si="5"/>
        <v>-0.0626200000042445</v>
      </c>
      <c r="O30">
        <f t="shared" si="2"/>
        <v>-0.06020456568646006</v>
      </c>
      <c r="Q30" s="2">
        <f t="shared" si="3"/>
        <v>38187.9546</v>
      </c>
    </row>
    <row r="31" spans="1:17" ht="12.75">
      <c r="A31" s="18" t="s">
        <v>42</v>
      </c>
      <c r="B31" s="19"/>
      <c r="C31" s="32">
        <v>53565.3891</v>
      </c>
      <c r="D31" s="32">
        <v>0.0002</v>
      </c>
      <c r="E31">
        <f t="shared" si="0"/>
        <v>43376.83671261668</v>
      </c>
      <c r="F31">
        <f t="shared" si="1"/>
        <v>43377</v>
      </c>
      <c r="G31">
        <f t="shared" si="4"/>
        <v>-0.06339599999773782</v>
      </c>
      <c r="J31">
        <f t="shared" si="5"/>
        <v>-0.06339599999773782</v>
      </c>
      <c r="O31">
        <f t="shared" si="2"/>
        <v>-0.06066097265443548</v>
      </c>
      <c r="Q31" s="2">
        <f t="shared" si="3"/>
        <v>38546.8891</v>
      </c>
    </row>
    <row r="32" spans="1:17" ht="12.75">
      <c r="A32" s="38" t="s">
        <v>53</v>
      </c>
      <c r="B32" s="39" t="s">
        <v>33</v>
      </c>
      <c r="C32" s="40">
        <v>55388.40543</v>
      </c>
      <c r="D32" s="40">
        <v>0.001</v>
      </c>
      <c r="E32">
        <f t="shared" si="0"/>
        <v>48072.33116461643</v>
      </c>
      <c r="F32">
        <f t="shared" si="1"/>
        <v>48072.5</v>
      </c>
      <c r="G32">
        <f t="shared" si="4"/>
        <v>-0.06554999999934807</v>
      </c>
      <c r="K32">
        <f>+G32</f>
        <v>-0.06554999999934807</v>
      </c>
      <c r="O32">
        <f t="shared" si="2"/>
        <v>-0.06297904611915</v>
      </c>
      <c r="Q32" s="2">
        <f t="shared" si="3"/>
        <v>40369.90543</v>
      </c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1"/>
  <sheetViews>
    <sheetView zoomScalePageLayoutView="0" workbookViewId="0" topLeftCell="A1">
      <selection activeCell="A18" sqref="A18:C19"/>
    </sheetView>
  </sheetViews>
  <sheetFormatPr defaultColWidth="9.140625" defaultRowHeight="12.75"/>
  <cols>
    <col min="1" max="1" width="19.7109375" style="16" customWidth="1"/>
    <col min="2" max="2" width="4.421875" style="18" customWidth="1"/>
    <col min="3" max="3" width="12.7109375" style="16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6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41" t="s">
        <v>55</v>
      </c>
      <c r="I1" s="42" t="s">
        <v>56</v>
      </c>
      <c r="J1" s="43" t="s">
        <v>57</v>
      </c>
    </row>
    <row r="2" spans="9:10" ht="12.75">
      <c r="I2" s="44" t="s">
        <v>58</v>
      </c>
      <c r="J2" s="45" t="s">
        <v>59</v>
      </c>
    </row>
    <row r="3" spans="1:10" ht="12.75">
      <c r="A3" s="46" t="s">
        <v>60</v>
      </c>
      <c r="I3" s="44" t="s">
        <v>61</v>
      </c>
      <c r="J3" s="45" t="s">
        <v>62</v>
      </c>
    </row>
    <row r="4" spans="9:10" ht="12.75">
      <c r="I4" s="44" t="s">
        <v>63</v>
      </c>
      <c r="J4" s="45" t="s">
        <v>62</v>
      </c>
    </row>
    <row r="5" spans="9:10" ht="13.5" thickBot="1">
      <c r="I5" s="47" t="s">
        <v>64</v>
      </c>
      <c r="J5" s="48" t="s">
        <v>65</v>
      </c>
    </row>
    <row r="10" ht="13.5" thickBot="1"/>
    <row r="11" spans="1:16" ht="12.75" customHeight="1" thickBot="1">
      <c r="A11" s="16" t="str">
        <f aca="true" t="shared" si="0" ref="A11:A19">P11</f>
        <v> BBS 109 </v>
      </c>
      <c r="B11" s="5" t="str">
        <f aca="true" t="shared" si="1" ref="B11:B19">IF(H11=INT(H11),"I","II")</f>
        <v>II</v>
      </c>
      <c r="C11" s="16">
        <f aca="true" t="shared" si="2" ref="C11:C19">1*G11</f>
        <v>49930.419</v>
      </c>
      <c r="D11" s="18" t="str">
        <f aca="true" t="shared" si="3" ref="D11:D19">VLOOKUP(F11,I$1:J$5,2,FALSE)</f>
        <v>vis</v>
      </c>
      <c r="E11" s="49">
        <f>VLOOKUP(C11,A!C$21:E$972,3,FALSE)</f>
        <v>34014.34134882859</v>
      </c>
      <c r="F11" s="5" t="s">
        <v>64</v>
      </c>
      <c r="G11" s="18" t="str">
        <f aca="true" t="shared" si="4" ref="G11:G19">MID(I11,3,LEN(I11)-3)</f>
        <v>49930.419</v>
      </c>
      <c r="H11" s="16">
        <f aca="true" t="shared" si="5" ref="H11:H19">1*K11</f>
        <v>34014.5</v>
      </c>
      <c r="I11" s="50" t="s">
        <v>66</v>
      </c>
      <c r="J11" s="51" t="s">
        <v>67</v>
      </c>
      <c r="K11" s="50">
        <v>34014.5</v>
      </c>
      <c r="L11" s="50" t="s">
        <v>68</v>
      </c>
      <c r="M11" s="51" t="s">
        <v>69</v>
      </c>
      <c r="N11" s="51" t="s">
        <v>70</v>
      </c>
      <c r="O11" s="52" t="s">
        <v>71</v>
      </c>
      <c r="P11" s="52" t="s">
        <v>72</v>
      </c>
    </row>
    <row r="12" spans="1:16" ht="12.75" customHeight="1" thickBot="1">
      <c r="A12" s="16" t="str">
        <f t="shared" si="0"/>
        <v>IBVS 5263 </v>
      </c>
      <c r="B12" s="5" t="str">
        <f t="shared" si="1"/>
        <v>I</v>
      </c>
      <c r="C12" s="16">
        <f t="shared" si="2"/>
        <v>51378.3961</v>
      </c>
      <c r="D12" s="18" t="str">
        <f t="shared" si="3"/>
        <v>vis</v>
      </c>
      <c r="E12" s="49">
        <f>VLOOKUP(C12,A!C$21:E$972,3,FALSE)</f>
        <v>37743.85727679214</v>
      </c>
      <c r="F12" s="5" t="s">
        <v>64</v>
      </c>
      <c r="G12" s="18" t="str">
        <f t="shared" si="4"/>
        <v>51378.3961</v>
      </c>
      <c r="H12" s="16">
        <f t="shared" si="5"/>
        <v>37744</v>
      </c>
      <c r="I12" s="50" t="s">
        <v>77</v>
      </c>
      <c r="J12" s="51" t="s">
        <v>78</v>
      </c>
      <c r="K12" s="50">
        <v>37744</v>
      </c>
      <c r="L12" s="50" t="s">
        <v>79</v>
      </c>
      <c r="M12" s="51" t="s">
        <v>69</v>
      </c>
      <c r="N12" s="51" t="s">
        <v>70</v>
      </c>
      <c r="O12" s="52" t="s">
        <v>80</v>
      </c>
      <c r="P12" s="53" t="s">
        <v>81</v>
      </c>
    </row>
    <row r="13" spans="1:16" ht="12.75" customHeight="1" thickBot="1">
      <c r="A13" s="16" t="str">
        <f t="shared" si="0"/>
        <v>IBVS 5263 </v>
      </c>
      <c r="B13" s="5" t="str">
        <f t="shared" si="1"/>
        <v>II</v>
      </c>
      <c r="C13" s="16">
        <f t="shared" si="2"/>
        <v>51378.5884</v>
      </c>
      <c r="D13" s="18" t="str">
        <f t="shared" si="3"/>
        <v>vis</v>
      </c>
      <c r="E13" s="49">
        <f>VLOOKUP(C13,A!C$21:E$972,3,FALSE)</f>
        <v>37744.35257876409</v>
      </c>
      <c r="F13" s="5" t="s">
        <v>64</v>
      </c>
      <c r="G13" s="18" t="str">
        <f t="shared" si="4"/>
        <v>51378.5884</v>
      </c>
      <c r="H13" s="16">
        <f t="shared" si="5"/>
        <v>37744.5</v>
      </c>
      <c r="I13" s="50" t="s">
        <v>82</v>
      </c>
      <c r="J13" s="51" t="s">
        <v>83</v>
      </c>
      <c r="K13" s="50">
        <v>37744.5</v>
      </c>
      <c r="L13" s="50" t="s">
        <v>84</v>
      </c>
      <c r="M13" s="51" t="s">
        <v>69</v>
      </c>
      <c r="N13" s="51" t="s">
        <v>70</v>
      </c>
      <c r="O13" s="52" t="s">
        <v>80</v>
      </c>
      <c r="P13" s="53" t="s">
        <v>81</v>
      </c>
    </row>
    <row r="14" spans="1:16" ht="12.75" customHeight="1" thickBot="1">
      <c r="A14" s="16" t="str">
        <f t="shared" si="0"/>
        <v>IBVS 5263 </v>
      </c>
      <c r="B14" s="5" t="str">
        <f t="shared" si="1"/>
        <v>II</v>
      </c>
      <c r="C14" s="16">
        <f t="shared" si="2"/>
        <v>51394.5121</v>
      </c>
      <c r="D14" s="18" t="str">
        <f t="shared" si="3"/>
        <v>vis</v>
      </c>
      <c r="E14" s="49">
        <f>VLOOKUP(C14,A!C$21:E$972,3,FALSE)</f>
        <v>37785.36682738868</v>
      </c>
      <c r="F14" s="5" t="s">
        <v>64</v>
      </c>
      <c r="G14" s="18" t="str">
        <f t="shared" si="4"/>
        <v>51394.5121</v>
      </c>
      <c r="H14" s="16">
        <f t="shared" si="5"/>
        <v>37785.5</v>
      </c>
      <c r="I14" s="50" t="s">
        <v>85</v>
      </c>
      <c r="J14" s="51" t="s">
        <v>86</v>
      </c>
      <c r="K14" s="50">
        <v>37785.5</v>
      </c>
      <c r="L14" s="50" t="s">
        <v>87</v>
      </c>
      <c r="M14" s="51" t="s">
        <v>69</v>
      </c>
      <c r="N14" s="51" t="s">
        <v>70</v>
      </c>
      <c r="O14" s="52" t="s">
        <v>80</v>
      </c>
      <c r="P14" s="53" t="s">
        <v>81</v>
      </c>
    </row>
    <row r="15" spans="1:16" ht="12.75" customHeight="1" thickBot="1">
      <c r="A15" s="16" t="str">
        <f t="shared" si="0"/>
        <v>IBVS 5583 </v>
      </c>
      <c r="B15" s="5" t="str">
        <f t="shared" si="1"/>
        <v>II</v>
      </c>
      <c r="C15" s="16">
        <f t="shared" si="2"/>
        <v>52141.4987</v>
      </c>
      <c r="D15" s="18" t="str">
        <f t="shared" si="3"/>
        <v>vis</v>
      </c>
      <c r="E15" s="49">
        <f>VLOOKUP(C15,A!C$21:E$972,3,FALSE)</f>
        <v>39709.360254270454</v>
      </c>
      <c r="F15" s="5" t="s">
        <v>64</v>
      </c>
      <c r="G15" s="18" t="str">
        <f t="shared" si="4"/>
        <v>52141.4987</v>
      </c>
      <c r="H15" s="16">
        <f t="shared" si="5"/>
        <v>39709.5</v>
      </c>
      <c r="I15" s="50" t="s">
        <v>88</v>
      </c>
      <c r="J15" s="51" t="s">
        <v>89</v>
      </c>
      <c r="K15" s="50">
        <v>39709.5</v>
      </c>
      <c r="L15" s="50" t="s">
        <v>90</v>
      </c>
      <c r="M15" s="51" t="s">
        <v>69</v>
      </c>
      <c r="N15" s="51" t="s">
        <v>91</v>
      </c>
      <c r="O15" s="52" t="s">
        <v>80</v>
      </c>
      <c r="P15" s="53" t="s">
        <v>92</v>
      </c>
    </row>
    <row r="16" spans="1:16" ht="12.75" customHeight="1" thickBot="1">
      <c r="A16" s="16" t="str">
        <f t="shared" si="0"/>
        <v>BAVM 173 </v>
      </c>
      <c r="B16" s="5" t="str">
        <f t="shared" si="1"/>
        <v>II</v>
      </c>
      <c r="C16" s="16">
        <f t="shared" si="2"/>
        <v>53206.4546</v>
      </c>
      <c r="D16" s="18" t="str">
        <f t="shared" si="3"/>
        <v>vis</v>
      </c>
      <c r="E16" s="49">
        <f>VLOOKUP(C16,A!C$21:E$972,3,FALSE)</f>
        <v>42452.338711339136</v>
      </c>
      <c r="F16" s="5" t="s">
        <v>64</v>
      </c>
      <c r="G16" s="18" t="str">
        <f t="shared" si="4"/>
        <v>53206.4546</v>
      </c>
      <c r="H16" s="16">
        <f t="shared" si="5"/>
        <v>42452.5</v>
      </c>
      <c r="I16" s="50" t="s">
        <v>93</v>
      </c>
      <c r="J16" s="51" t="s">
        <v>94</v>
      </c>
      <c r="K16" s="50">
        <v>42452.5</v>
      </c>
      <c r="L16" s="50" t="s">
        <v>95</v>
      </c>
      <c r="M16" s="51" t="s">
        <v>69</v>
      </c>
      <c r="N16" s="51" t="s">
        <v>96</v>
      </c>
      <c r="O16" s="52" t="s">
        <v>97</v>
      </c>
      <c r="P16" s="53" t="s">
        <v>98</v>
      </c>
    </row>
    <row r="17" spans="1:16" ht="12.75" customHeight="1" thickBot="1">
      <c r="A17" s="16" t="str">
        <f t="shared" si="0"/>
        <v>BAVM 178 </v>
      </c>
      <c r="B17" s="5" t="str">
        <f t="shared" si="1"/>
        <v>I</v>
      </c>
      <c r="C17" s="16">
        <f t="shared" si="2"/>
        <v>53565.3891</v>
      </c>
      <c r="D17" s="18" t="str">
        <f t="shared" si="3"/>
        <v>vis</v>
      </c>
      <c r="E17" s="49">
        <f>VLOOKUP(C17,A!C$21:E$972,3,FALSE)</f>
        <v>43376.83671261668</v>
      </c>
      <c r="F17" s="5" t="s">
        <v>64</v>
      </c>
      <c r="G17" s="18" t="str">
        <f t="shared" si="4"/>
        <v>53565.3891</v>
      </c>
      <c r="H17" s="16">
        <f t="shared" si="5"/>
        <v>43377</v>
      </c>
      <c r="I17" s="50" t="s">
        <v>99</v>
      </c>
      <c r="J17" s="51" t="s">
        <v>100</v>
      </c>
      <c r="K17" s="50">
        <v>43377</v>
      </c>
      <c r="L17" s="50" t="s">
        <v>101</v>
      </c>
      <c r="M17" s="51" t="s">
        <v>102</v>
      </c>
      <c r="N17" s="51" t="s">
        <v>103</v>
      </c>
      <c r="O17" s="52" t="s">
        <v>104</v>
      </c>
      <c r="P17" s="53" t="s">
        <v>105</v>
      </c>
    </row>
    <row r="18" spans="1:16" ht="12.75" customHeight="1" thickBot="1">
      <c r="A18" s="16" t="str">
        <f t="shared" si="0"/>
        <v> BBS 113 </v>
      </c>
      <c r="B18" s="5" t="str">
        <f t="shared" si="1"/>
        <v>I</v>
      </c>
      <c r="C18" s="16">
        <f t="shared" si="2"/>
        <v>50315.3697</v>
      </c>
      <c r="D18" s="18" t="str">
        <f t="shared" si="3"/>
        <v>vis</v>
      </c>
      <c r="E18" s="49">
        <f>VLOOKUP(C18,A!C$21:E$972,3,FALSE)</f>
        <v>35005.84858131916</v>
      </c>
      <c r="F18" s="5" t="s">
        <v>64</v>
      </c>
      <c r="G18" s="18" t="str">
        <f t="shared" si="4"/>
        <v>50315.3697</v>
      </c>
      <c r="H18" s="16">
        <f t="shared" si="5"/>
        <v>35006</v>
      </c>
      <c r="I18" s="50" t="s">
        <v>73</v>
      </c>
      <c r="J18" s="51" t="s">
        <v>74</v>
      </c>
      <c r="K18" s="50">
        <v>35006</v>
      </c>
      <c r="L18" s="50" t="s">
        <v>75</v>
      </c>
      <c r="M18" s="51" t="s">
        <v>69</v>
      </c>
      <c r="N18" s="51" t="s">
        <v>70</v>
      </c>
      <c r="O18" s="52" t="s">
        <v>71</v>
      </c>
      <c r="P18" s="52" t="s">
        <v>76</v>
      </c>
    </row>
    <row r="19" spans="1:16" ht="12.75" customHeight="1" thickBot="1">
      <c r="A19" s="16" t="str">
        <f t="shared" si="0"/>
        <v>OEJV 0137 </v>
      </c>
      <c r="B19" s="5" t="str">
        <f t="shared" si="1"/>
        <v>II</v>
      </c>
      <c r="C19" s="16">
        <f t="shared" si="2"/>
        <v>55388.4054</v>
      </c>
      <c r="D19" s="18" t="str">
        <f t="shared" si="3"/>
        <v>vis</v>
      </c>
      <c r="E19" s="49" t="e">
        <f>VLOOKUP(C19,A!C$21:E$972,3,FALSE)</f>
        <v>#N/A</v>
      </c>
      <c r="F19" s="5" t="s">
        <v>64</v>
      </c>
      <c r="G19" s="18" t="str">
        <f t="shared" si="4"/>
        <v>55388.4054</v>
      </c>
      <c r="H19" s="16">
        <f t="shared" si="5"/>
        <v>48072.5</v>
      </c>
      <c r="I19" s="50" t="s">
        <v>106</v>
      </c>
      <c r="J19" s="51" t="s">
        <v>107</v>
      </c>
      <c r="K19" s="50" t="s">
        <v>108</v>
      </c>
      <c r="L19" s="50" t="s">
        <v>109</v>
      </c>
      <c r="M19" s="51" t="s">
        <v>102</v>
      </c>
      <c r="N19" s="51" t="s">
        <v>56</v>
      </c>
      <c r="O19" s="52" t="s">
        <v>110</v>
      </c>
      <c r="P19" s="53" t="s">
        <v>111</v>
      </c>
    </row>
    <row r="20" spans="2:6" ht="12.75">
      <c r="B20" s="5"/>
      <c r="E20" s="49"/>
      <c r="F20" s="5"/>
    </row>
    <row r="21" spans="2:6" ht="12.75">
      <c r="B21" s="5"/>
      <c r="E21" s="49"/>
      <c r="F21" s="5"/>
    </row>
    <row r="22" spans="2:6" ht="12.75">
      <c r="B22" s="5"/>
      <c r="E22" s="49"/>
      <c r="F22" s="5"/>
    </row>
    <row r="23" spans="2:6" ht="12.75">
      <c r="B23" s="5"/>
      <c r="E23" s="49"/>
      <c r="F23" s="5"/>
    </row>
    <row r="24" spans="2:6" ht="12.75">
      <c r="B24" s="5"/>
      <c r="E24" s="49"/>
      <c r="F24" s="5"/>
    </row>
    <row r="25" spans="2:6" ht="12.75">
      <c r="B25" s="5"/>
      <c r="E25" s="49"/>
      <c r="F25" s="5"/>
    </row>
    <row r="26" spans="2:6" ht="12.75">
      <c r="B26" s="5"/>
      <c r="E26" s="49"/>
      <c r="F26" s="5"/>
    </row>
    <row r="27" spans="2:6" ht="12.75">
      <c r="B27" s="5"/>
      <c r="E27" s="49"/>
      <c r="F27" s="5"/>
    </row>
    <row r="28" spans="2:6" ht="12.75">
      <c r="B28" s="5"/>
      <c r="E28" s="49"/>
      <c r="F28" s="5"/>
    </row>
    <row r="29" spans="2:6" ht="12.75">
      <c r="B29" s="5"/>
      <c r="E29" s="49"/>
      <c r="F29" s="5"/>
    </row>
    <row r="30" spans="2:6" ht="12.75">
      <c r="B30" s="5"/>
      <c r="E30" s="49"/>
      <c r="F30" s="5"/>
    </row>
    <row r="31" spans="2:6" ht="12.75">
      <c r="B31" s="5"/>
      <c r="E31" s="49"/>
      <c r="F31" s="5"/>
    </row>
    <row r="32" spans="2:6" ht="12.75">
      <c r="B32" s="5"/>
      <c r="E32" s="49"/>
      <c r="F32" s="5"/>
    </row>
    <row r="33" spans="2:6" ht="12.75">
      <c r="B33" s="5"/>
      <c r="E33" s="49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</sheetData>
  <sheetProtection/>
  <hyperlinks>
    <hyperlink ref="P12" r:id="rId1" display="http://www.konkoly.hu/cgi-bin/IBVS?5263"/>
    <hyperlink ref="P13" r:id="rId2" display="http://www.konkoly.hu/cgi-bin/IBVS?5263"/>
    <hyperlink ref="P14" r:id="rId3" display="http://www.konkoly.hu/cgi-bin/IBVS?5263"/>
    <hyperlink ref="P15" r:id="rId4" display="http://www.konkoly.hu/cgi-bin/IBVS?5583"/>
    <hyperlink ref="P16" r:id="rId5" display="http://www.bav-astro.de/sfs/BAVM_link.php?BAVMnr=173"/>
    <hyperlink ref="P17" r:id="rId6" display="http://www.bav-astro.de/sfs/BAVM_link.php?BAVMnr=178"/>
    <hyperlink ref="P19" r:id="rId7" display="http://var.astro.cz/oejv/issues/oejv0137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