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<sst xmlns="http://schemas.openxmlformats.org/spreadsheetml/2006/main" count="71" uniqueCount="52">
  <si>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JAVSO..44…26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</si>
  <si>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</si>
  <si>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</si>
  <si>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</si>
  <si>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</si>
  <si>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</si>
  <si>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</si>
  <si>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</si>
  <si>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</si>
  <si>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</si>
  <si>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</si>
  <si>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</si>
  <si>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</si>
  <si>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</si>
  <si>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</si>
  <si>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</si>
  <si>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</si>
  <si>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</si>
  <si>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</si>
  <si>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</si>
  <si>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</si>
  <si>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</si>
  <si>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</si>
  <si>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</si>
  <si>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</si>
  <si>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</si>
  <si>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</si>
  <si>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</si>
  <si>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</si>
  <si>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</si>
  <si>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</si>
  <si>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</si>
  <si>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</si>
  <si>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</si>
  <si>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</si>
  <si>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</si>
  <si>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</si>
  <si>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</si>
  <si>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V0743 Sgr / na</t>
  </si>
  <si>
    <t>II</t>
  </si>
  <si>
    <t>I</t>
  </si>
  <si>
    <t>IBVS 4515</t>
  </si>
  <si>
    <t>Samec 1990</t>
  </si>
  <si>
    <t>Samec &amp; DeWitt 1990</t>
  </si>
  <si>
    <t>Samec 1997</t>
  </si>
  <si>
    <t>IBVS 3523</t>
  </si>
  <si>
    <t>Kreiner 2001</t>
  </si>
  <si>
    <t>EW/KW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</si>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</sst>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ont="1" applyBorder="1" applyAlignment="1">
      <alignment vertical="center"/>
    </xf>
    <xf numFmtId="0" fontId="28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V743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A!$D$21:$D$235</c:f>
                <c:numCache>
                  <c:ptCount val="21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</c:numCache>
              </c:numRef>
            </c:plus>
            <c:minus>
              <c:numRef>
                <c:f>A!$D$21:$D$235</c:f>
                <c:numCache>
                  <c:ptCount val="21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A!$H$21:$H$995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A!$I$21:$I$995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A!$J$21:$J$995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A!$K$21:$K$995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A!$L$21:$L$995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A!$M$21:$M$995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0.0001</c:v>
                  </c:pt>
                  <c:pt idx="4">
                    <c:v>0.0008</c:v>
                  </c:pt>
                  <c:pt idx="5">
                    <c:v>0.0003</c:v>
                  </c:pt>
                  <c:pt idx="6">
                    <c:v>0.0008</c:v>
                  </c:pt>
                  <c:pt idx="7">
                    <c:v>0.0006</c:v>
                  </c:pt>
                  <c:pt idx="8">
                    <c:v>0.0004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A!$N$21:$N$995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A!$F$21:$F$995</c:f>
              <c:numCache/>
            </c:numRef>
          </c:xVal>
          <c:yVal>
            <c:numRef>
              <c:f>A!$O$21:$O$995</c:f>
              <c:numCache/>
            </c:numRef>
          </c:yVal>
          <c:smooth val="0"/>
        </c:ser>
        <c:axId val="21441880"/>
        <c:axId val="58759193"/>
      </c:scatterChart>
      <c:val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crossBetween val="midCat"/>
        <c:dispUnits/>
      </c:valAx>
      <c:valAx>
        <c:axId val="58759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34"/>
          <c:w val="0.59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628650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3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5" ht="12.75">
      <c r="A2" t="s">
        <v>25</v>
      </c>
      <c r="B2" s="33" t="s">
        <v>47</v>
      </c>
      <c r="D2" s="3"/>
      <c r="E2" s="28"/>
    </row>
    <row r="3" ht="13.5" thickBot="1"/>
    <row r="4" spans="1:4" ht="14.25" thickBot="1" thickTop="1">
      <c r="A4" s="5" t="s">
        <v>1</v>
      </c>
      <c r="C4" s="8">
        <v>28094.2852</v>
      </c>
      <c r="D4" s="9">
        <v>0.27663633</v>
      </c>
    </row>
    <row r="5" spans="1:4" ht="13.5" thickTop="1">
      <c r="A5" s="11" t="s">
        <v>30</v>
      </c>
      <c r="B5" s="12"/>
      <c r="C5" s="13">
        <v>-9.5</v>
      </c>
      <c r="D5" s="12" t="s">
        <v>31</v>
      </c>
    </row>
    <row r="6" ht="12.75">
      <c r="A6" s="5" t="s">
        <v>2</v>
      </c>
    </row>
    <row r="7" spans="1:3" ht="12.75">
      <c r="A7" t="s">
        <v>3</v>
      </c>
      <c r="C7">
        <f>+C4</f>
        <v>28094.2852</v>
      </c>
    </row>
    <row r="8" spans="1:3" ht="12.75">
      <c r="A8" t="s">
        <v>4</v>
      </c>
      <c r="C8">
        <f>+D4</f>
        <v>0.27663633</v>
      </c>
    </row>
    <row r="9" spans="1:4" ht="12.75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5" ht="12.75">
      <c r="A11" s="12" t="s">
        <v>17</v>
      </c>
      <c r="B11" s="12"/>
      <c r="C11" s="23">
        <f ca="1">INTERCEPT(INDIRECT($D$9):G988,INDIRECT($C$9):F988)</f>
        <v>-0.0032563874008654514</v>
      </c>
      <c r="D11" s="3"/>
      <c r="E11" s="12"/>
    </row>
    <row r="12" spans="1:5" ht="12.75">
      <c r="A12" s="12" t="s">
        <v>18</v>
      </c>
      <c r="B12" s="12"/>
      <c r="C12" s="23">
        <f ca="1">SLOPE(INDIRECT($D$9):G988,INDIRECT($C$9):F988)</f>
        <v>-4.672593202357908E-07</v>
      </c>
      <c r="D12" s="3"/>
      <c r="E12" s="12"/>
    </row>
    <row r="13" spans="1:3" ht="12.75">
      <c r="A13" s="12" t="s">
        <v>20</v>
      </c>
      <c r="B13" s="12"/>
      <c r="C13" s="3" t="s">
        <v>15</v>
      </c>
    </row>
    <row r="14" spans="1:3" ht="12.75">
      <c r="A14" s="12"/>
      <c r="B14" s="12"/>
      <c r="C14" s="12"/>
    </row>
    <row r="15" spans="1:6" ht="12.75">
      <c r="A15" s="14" t="s">
        <v>19</v>
      </c>
      <c r="B15" s="12"/>
      <c r="C15" s="15">
        <f>(C7+C11)+(C8+C12)*INT(MAX(F21:F3529))</f>
        <v>57150.176514854415</v>
      </c>
      <c r="E15" s="16" t="s">
        <v>35</v>
      </c>
      <c r="F15" s="13">
        <v>1</v>
      </c>
    </row>
    <row r="16" spans="1:6" ht="12.75">
      <c r="A16" s="18" t="s">
        <v>5</v>
      </c>
      <c r="B16" s="12"/>
      <c r="C16" s="19">
        <f>+C8+C12</f>
        <v>0.27663586274067975</v>
      </c>
      <c r="E16" s="16" t="s">
        <v>32</v>
      </c>
      <c r="F16" s="17">
        <f ca="1">NOW()+15018.5+$C$5/24</f>
        <v>59906.85054907407</v>
      </c>
    </row>
    <row r="17" spans="1:6" ht="13.5" thickBot="1">
      <c r="A17" s="16" t="s">
        <v>29</v>
      </c>
      <c r="B17" s="12"/>
      <c r="C17" s="12">
        <f>COUNT(C21:C2187)</f>
        <v>11</v>
      </c>
      <c r="E17" s="16" t="s">
        <v>36</v>
      </c>
      <c r="F17" s="17">
        <f>ROUND(2*(F16-$C$7)/$C$8,0)/2+F15</f>
        <v>114999</v>
      </c>
    </row>
    <row r="18" spans="1:6" ht="14.25" thickBot="1" thickTop="1">
      <c r="A18" s="18" t="s">
        <v>6</v>
      </c>
      <c r="B18" s="12"/>
      <c r="C18" s="21">
        <f>+C15</f>
        <v>57150.176514854415</v>
      </c>
      <c r="D18" s="22">
        <f>+C16</f>
        <v>0.27663586274067975</v>
      </c>
      <c r="E18" s="16" t="s">
        <v>37</v>
      </c>
      <c r="F18" s="25">
        <f>ROUND(2*(F16-$C$15)/$C$16,0)/2+F15</f>
        <v>9966</v>
      </c>
    </row>
    <row r="19" spans="5:6" ht="13.5" thickTop="1">
      <c r="E19" s="16" t="s">
        <v>33</v>
      </c>
      <c r="F19" s="20">
        <f>+$C$15+$C$16*F18-15018.5-$C$5/24</f>
        <v>44889.025356261365</v>
      </c>
    </row>
    <row r="20" spans="1:17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</row>
    <row r="21" spans="1:17" ht="12.75">
      <c r="A21" t="s">
        <v>13</v>
      </c>
      <c r="C21" s="10">
        <v>28094.2852</v>
      </c>
      <c r="D21" s="10" t="s">
        <v>15</v>
      </c>
      <c r="E21">
        <f aca="true" t="shared" si="0" ref="E21:E30">+(C21-C$7)/C$8</f>
        <v>0</v>
      </c>
      <c r="F21">
        <f aca="true" t="shared" si="1" ref="F21:F31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+C$11+C$12*$F21</f>
        <v>-0.0032563874008654514</v>
      </c>
      <c r="Q21" s="2">
        <f aca="true" t="shared" si="4" ref="Q21:Q30">+C21-15018.5</f>
        <v>13075.785199999998</v>
      </c>
    </row>
    <row r="22" spans="1:22" ht="12.75">
      <c r="A22" s="29" t="s">
        <v>42</v>
      </c>
      <c r="B22" s="31" t="s">
        <v>39</v>
      </c>
      <c r="C22" s="10">
        <v>47655.8946</v>
      </c>
      <c r="D22" s="29">
        <v>0.0004</v>
      </c>
      <c r="E22">
        <f t="shared" si="0"/>
        <v>70712.36594268006</v>
      </c>
      <c r="F22">
        <f t="shared" si="1"/>
        <v>70712.5</v>
      </c>
      <c r="G22">
        <f t="shared" si="2"/>
        <v>-0.037085124997247476</v>
      </c>
      <c r="J22">
        <f aca="true" t="shared" si="5" ref="J22:J29">+G22</f>
        <v>-0.037085124997247476</v>
      </c>
      <c r="O22">
        <f t="shared" si="3"/>
        <v>-0.03629746208303881</v>
      </c>
      <c r="Q22" s="2">
        <f t="shared" si="4"/>
        <v>32637.3946</v>
      </c>
      <c r="S22" s="30"/>
      <c r="T22" s="30"/>
      <c r="V22" t="s">
        <v>43</v>
      </c>
    </row>
    <row r="23" spans="1:22" ht="12.75">
      <c r="A23" s="29" t="s">
        <v>45</v>
      </c>
      <c r="B23" s="31" t="s">
        <v>40</v>
      </c>
      <c r="C23" s="10">
        <v>47656.8614</v>
      </c>
      <c r="D23" s="29">
        <v>0.0001</v>
      </c>
      <c r="E23">
        <f t="shared" si="0"/>
        <v>70715.86078372282</v>
      </c>
      <c r="F23">
        <f t="shared" si="1"/>
        <v>70716</v>
      </c>
      <c r="G23">
        <f t="shared" si="2"/>
        <v>-0.03851227999984985</v>
      </c>
      <c r="I23">
        <f>+G23</f>
        <v>-0.03851227999984985</v>
      </c>
      <c r="J23">
        <f t="shared" si="5"/>
        <v>-0.03851227999984985</v>
      </c>
      <c r="O23">
        <f t="shared" si="3"/>
        <v>-0.03629909749065963</v>
      </c>
      <c r="Q23" s="2">
        <f t="shared" si="4"/>
        <v>32638.3614</v>
      </c>
      <c r="S23" s="30"/>
      <c r="T23" s="30"/>
      <c r="V23" t="s">
        <v>43</v>
      </c>
    </row>
    <row r="24" spans="1:22" ht="12.75">
      <c r="A24" s="29" t="s">
        <v>45</v>
      </c>
      <c r="B24" s="31" t="s">
        <v>40</v>
      </c>
      <c r="C24" s="10">
        <v>47657.6909</v>
      </c>
      <c r="D24" s="29">
        <v>0.0001</v>
      </c>
      <c r="E24">
        <f t="shared" si="0"/>
        <v>70718.8593052836</v>
      </c>
      <c r="F24">
        <f t="shared" si="1"/>
        <v>70719</v>
      </c>
      <c r="G24">
        <f t="shared" si="2"/>
        <v>-0.03892126999562606</v>
      </c>
      <c r="J24">
        <f t="shared" si="5"/>
        <v>-0.03892126999562606</v>
      </c>
      <c r="O24">
        <f t="shared" si="3"/>
        <v>-0.03630049926862034</v>
      </c>
      <c r="Q24" s="2">
        <f t="shared" si="4"/>
        <v>32639.1909</v>
      </c>
      <c r="S24" s="30"/>
      <c r="T24" s="30"/>
      <c r="V24" t="s">
        <v>43</v>
      </c>
    </row>
    <row r="25" spans="1:22" ht="12.75">
      <c r="A25" s="29" t="s">
        <v>45</v>
      </c>
      <c r="B25" s="31" t="s">
        <v>39</v>
      </c>
      <c r="C25" s="10">
        <v>47658.6588</v>
      </c>
      <c r="D25" s="29">
        <v>0.0008</v>
      </c>
      <c r="E25">
        <f t="shared" si="0"/>
        <v>70722.35812266596</v>
      </c>
      <c r="F25">
        <f t="shared" si="1"/>
        <v>70722.5</v>
      </c>
      <c r="G25">
        <f t="shared" si="2"/>
        <v>-0.039248424996912945</v>
      </c>
      <c r="J25">
        <f t="shared" si="5"/>
        <v>-0.039248424996912945</v>
      </c>
      <c r="O25">
        <f t="shared" si="3"/>
        <v>-0.03630213467624117</v>
      </c>
      <c r="Q25" s="2">
        <f t="shared" si="4"/>
        <v>32640.158799999997</v>
      </c>
      <c r="S25" s="30"/>
      <c r="T25" s="30"/>
      <c r="V25" t="s">
        <v>43</v>
      </c>
    </row>
    <row r="26" spans="1:22" ht="12.75">
      <c r="A26" s="29" t="s">
        <v>41</v>
      </c>
      <c r="B26" s="31" t="s">
        <v>40</v>
      </c>
      <c r="C26" s="10">
        <v>48392.7142</v>
      </c>
      <c r="D26" s="29">
        <v>0.0003</v>
      </c>
      <c r="E26">
        <f t="shared" si="0"/>
        <v>73375.86137005217</v>
      </c>
      <c r="F26">
        <f t="shared" si="1"/>
        <v>73376</v>
      </c>
      <c r="G26">
        <f t="shared" si="2"/>
        <v>-0.038350079994415864</v>
      </c>
      <c r="J26">
        <f t="shared" si="5"/>
        <v>-0.038350079994415864</v>
      </c>
      <c r="O26">
        <f t="shared" si="3"/>
        <v>-0.03754200728248684</v>
      </c>
      <c r="Q26" s="2">
        <f t="shared" si="4"/>
        <v>33374.2142</v>
      </c>
      <c r="S26" s="30"/>
      <c r="T26" s="30"/>
      <c r="V26" t="s">
        <v>44</v>
      </c>
    </row>
    <row r="27" spans="1:22" ht="12.75">
      <c r="A27" s="29" t="s">
        <v>41</v>
      </c>
      <c r="B27" s="31" t="s">
        <v>39</v>
      </c>
      <c r="C27" s="10">
        <v>48392.854999999996</v>
      </c>
      <c r="D27" s="29">
        <v>0.0008</v>
      </c>
      <c r="E27">
        <f t="shared" si="0"/>
        <v>73376.37034152383</v>
      </c>
      <c r="F27">
        <f t="shared" si="1"/>
        <v>73376.5</v>
      </c>
      <c r="G27">
        <f t="shared" si="2"/>
        <v>-0.035868245002347976</v>
      </c>
      <c r="J27">
        <f t="shared" si="5"/>
        <v>-0.035868245002347976</v>
      </c>
      <c r="O27">
        <f t="shared" si="3"/>
        <v>-0.03754224091214696</v>
      </c>
      <c r="Q27" s="2">
        <f t="shared" si="4"/>
        <v>33374.354999999996</v>
      </c>
      <c r="S27" s="30"/>
      <c r="T27" s="30"/>
      <c r="V27" t="s">
        <v>44</v>
      </c>
    </row>
    <row r="28" spans="1:22" ht="12.75">
      <c r="A28" s="29" t="s">
        <v>41</v>
      </c>
      <c r="B28" s="31" t="s">
        <v>39</v>
      </c>
      <c r="C28" s="10">
        <v>48393.6849</v>
      </c>
      <c r="D28" s="29">
        <v>0.0006</v>
      </c>
      <c r="E28">
        <f t="shared" si="0"/>
        <v>73379.3703090263</v>
      </c>
      <c r="F28">
        <f t="shared" si="1"/>
        <v>73379.5</v>
      </c>
      <c r="G28">
        <f t="shared" si="2"/>
        <v>-0.03587723499367712</v>
      </c>
      <c r="J28">
        <f t="shared" si="5"/>
        <v>-0.03587723499367712</v>
      </c>
      <c r="O28">
        <f t="shared" si="3"/>
        <v>-0.03754364269010767</v>
      </c>
      <c r="Q28" s="2">
        <f t="shared" si="4"/>
        <v>33375.1849</v>
      </c>
      <c r="S28" s="30"/>
      <c r="T28" s="30"/>
      <c r="V28" t="s">
        <v>44</v>
      </c>
    </row>
    <row r="29" spans="1:22" ht="12.75">
      <c r="A29" s="29" t="s">
        <v>41</v>
      </c>
      <c r="B29" s="31" t="s">
        <v>40</v>
      </c>
      <c r="C29" s="10">
        <v>48393.8205</v>
      </c>
      <c r="D29" s="29">
        <v>0.0004</v>
      </c>
      <c r="E29">
        <f t="shared" si="0"/>
        <v>73379.86048325614</v>
      </c>
      <c r="F29">
        <f t="shared" si="1"/>
        <v>73380</v>
      </c>
      <c r="G29">
        <f t="shared" si="2"/>
        <v>-0.03859539999393746</v>
      </c>
      <c r="J29">
        <f t="shared" si="5"/>
        <v>-0.03859539999393746</v>
      </c>
      <c r="O29">
        <f t="shared" si="3"/>
        <v>-0.03754387631976778</v>
      </c>
      <c r="Q29" s="2">
        <f t="shared" si="4"/>
        <v>33375.3205</v>
      </c>
      <c r="S29" s="30"/>
      <c r="T29" s="30"/>
      <c r="V29" t="s">
        <v>44</v>
      </c>
    </row>
    <row r="30" spans="1:17" ht="12.75">
      <c r="A30" s="32" t="s">
        <v>46</v>
      </c>
      <c r="C30" s="10">
        <v>52500.219</v>
      </c>
      <c r="D30" s="29"/>
      <c r="E30">
        <f t="shared" si="0"/>
        <v>88223.89235716076</v>
      </c>
      <c r="F30">
        <f t="shared" si="1"/>
        <v>88224</v>
      </c>
      <c r="G30">
        <f t="shared" si="2"/>
        <v>-0.029777920004562475</v>
      </c>
      <c r="K30">
        <f>+G30</f>
        <v>-0.029777920004562475</v>
      </c>
      <c r="O30">
        <f t="shared" si="3"/>
        <v>-0.04447987366934786</v>
      </c>
      <c r="Q30" s="2">
        <f t="shared" si="4"/>
        <v>37481.719</v>
      </c>
    </row>
    <row r="31" spans="1:17" ht="12.75">
      <c r="A31" s="34" t="s">
        <v>0</v>
      </c>
      <c r="B31" s="35" t="s">
        <v>40</v>
      </c>
      <c r="C31" s="34">
        <v>57150.1689</v>
      </c>
      <c r="D31" s="34">
        <v>0.0002</v>
      </c>
      <c r="E31">
        <f>+(C31-C$7)/C$8</f>
        <v>105032.78329350306</v>
      </c>
      <c r="F31">
        <f t="shared" si="1"/>
        <v>105033</v>
      </c>
      <c r="G31">
        <f>+C31-(C$7+F31*C$8)</f>
        <v>-0.059948889997031074</v>
      </c>
      <c r="K31">
        <f>+G31</f>
        <v>-0.059948889997031074</v>
      </c>
      <c r="O31">
        <f>+C$11+C$12*$F31</f>
        <v>-0.05233403558319127</v>
      </c>
      <c r="Q31" s="2">
        <f>+C31-15018.5</f>
        <v>42131.6689</v>
      </c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</sheetData>
  <sheetProtection/>
  <hyperlinks>
    <hyperlink ref="H62845" r:id="rId1" display="http://vsolj.cetus-net.org/bulletin.html"/>
    <hyperlink ref="H62838" r:id="rId2" display="https://www.aavso.org/ejaavso"/>
    <hyperlink ref="I62845" r:id="rId3" display="http://vsolj.cetus-net.org/bulletin.html"/>
    <hyperlink ref="AQ56496" r:id="rId4" display="http://cdsbib.u-strasbg.fr/cgi-bin/cdsbib?1990RMxAA..21..381G"/>
    <hyperlink ref="H62842" r:id="rId5" display="https://www.aavso.org/ejaavso"/>
    <hyperlink ref="AP3860" r:id="rId6" display="http://cdsbib.u-strasbg.fr/cgi-bin/cdsbib?1990RMxAA..21..381G"/>
    <hyperlink ref="AP3863" r:id="rId7" display="http://cdsbib.u-strasbg.fr/cgi-bin/cdsbib?1990RMxAA..21..381G"/>
    <hyperlink ref="AP3861" r:id="rId8" display="http://cdsbib.u-strasbg.fr/cgi-bin/cdsbib?1990RMxAA..21..381G"/>
    <hyperlink ref="AP3845" r:id="rId9" display="http://cdsbib.u-strasbg.fr/cgi-bin/cdsbib?1990RMxAA..21..381G"/>
    <hyperlink ref="AQ4074" r:id="rId10" display="http://cdsbib.u-strasbg.fr/cgi-bin/cdsbib?1990RMxAA..21..381G"/>
    <hyperlink ref="AQ4078" r:id="rId11" display="http://cdsbib.u-strasbg.fr/cgi-bin/cdsbib?1990RMxAA..21..381G"/>
    <hyperlink ref="AQ63758" r:id="rId12" display="http://cdsbib.u-strasbg.fr/cgi-bin/cdsbib?1990RMxAA..21..381G"/>
    <hyperlink ref="I966" r:id="rId13" display="http://vsolj.cetus-net.org/bulletin.html"/>
    <hyperlink ref="H966" r:id="rId14" display="http://vsolj.cetus-net.org/bulletin.html"/>
    <hyperlink ref="AQ64419" r:id="rId15" display="http://cdsbib.u-strasbg.fr/cgi-bin/cdsbib?1990RMxAA..21..381G"/>
    <hyperlink ref="AQ64418" r:id="rId16" display="http://cdsbib.u-strasbg.fr/cgi-bin/cdsbib?1990RMxAA..21..381G"/>
    <hyperlink ref="AP2136" r:id="rId17" display="http://cdsbib.u-strasbg.fr/cgi-bin/cdsbib?1990RMxAA..21..381G"/>
    <hyperlink ref="AP2154" r:id="rId18" display="http://cdsbib.u-strasbg.fr/cgi-bin/cdsbib?1990RMxAA..21..381G"/>
    <hyperlink ref="AP2155" r:id="rId19" display="http://cdsbib.u-strasbg.fr/cgi-bin/cdsbib?1990RMxAA..21..381G"/>
    <hyperlink ref="AP215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