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285" windowHeight="13245" activeTab="0"/>
  </bookViews>
  <sheets>
    <sheet name="A" sheetId="1" r:id="rId1"/>
    <sheet name="BAV" sheetId="2" r:id="rId2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'A'!$F$16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<sst xmlns="http://schemas.openxmlformats.org/spreadsheetml/2006/main" count="482" uniqueCount="242">
  <si>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</si>
  <si>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</si>
  <si>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</si>
  <si>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</si>
  <si>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</si>
  <si>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</si>
  <si>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</si>
  <si>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</si>
  <si>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</si>
  <si>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</si>
  <si>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</si>
  <si>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</si>
  <si>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</si>
  <si>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</si>
  <si>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</si>
  <si>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</si>
  <si>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</si>
  <si>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</si>
  <si>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</si>
  <si>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</si>
  <si>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</si>
  <si>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</si>
  <si>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</si>
  <si>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</si>
  <si>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</si>
  <si>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</si>
  <si>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</si>
  <si>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</si>
  <si>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</si>
  <si>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</si>
  <si>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IBVS 5502</t>
  </si>
  <si>
    <t>IBVS 5484</t>
  </si>
  <si>
    <t>IBVS</t>
  </si>
  <si>
    <t>IBVS 5296</t>
  </si>
  <si>
    <t>I</t>
  </si>
  <si>
    <t>EA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</si>
  <si>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</si>
  <si>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</si>
  <si>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</si>
  <si>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</si>
  <si>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</si>
  <si>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</si>
  <si>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IBVS 5802</t>
  </si>
  <si>
    <t>AL Tau / GSC 1852-0675</t>
  </si>
  <si>
    <t>Start of linear fit &gt;&gt;&gt;&gt;&gt;&gt;&gt;&gt;&gt;&gt;&gt;&gt;&gt;&gt;&gt;&gt;&gt;&gt;&gt;&gt;&gt;</t>
  </si>
  <si>
    <t>OEJV 0107</t>
  </si>
  <si>
    <t>Q.fit</t>
  </si>
  <si>
    <t>IBVS 5945</t>
  </si>
  <si>
    <t>IBVS 5918</t>
  </si>
  <si>
    <t>IBVS 6029</t>
  </si>
  <si>
    <t>IBVS 6149</t>
  </si>
  <si>
    <t>IBVS 6152</t>
  </si>
  <si>
    <t>BAD?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</si>
  <si>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</si>
  <si>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</si>
  <si>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</si>
  <si>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</si>
  <si>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</si>
  <si>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</si>
  <si>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</si>
  <si>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</si>
  <si>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</si>
  <si>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</si>
  <si>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</si>
  <si>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2427452.465 </t>
  </si>
  <si>
    <t> 14.01.1934 23:09 </t>
  </si>
  <si>
    <t> -0.008 </t>
  </si>
  <si>
    <t>V </t>
  </si>
  <si>
    <t> Piotrowski [Kord.] </t>
  </si>
  <si>
    <t> AA 6.109 </t>
  </si>
  <si>
    <t>2427453.383 </t>
  </si>
  <si>
    <t> 15.01.1934 21:11 </t>
  </si>
  <si>
    <t> -0.021 </t>
  </si>
  <si>
    <t>2427455.278 </t>
  </si>
  <si>
    <t> 17.01.1934 18:40 </t>
  </si>
  <si>
    <t> 0.013 </t>
  </si>
  <si>
    <t>2427507.395 </t>
  </si>
  <si>
    <t> 10.03.1934 21:28 </t>
  </si>
  <si>
    <t>2427534.382 </t>
  </si>
  <si>
    <t> 06.04.1934 21:10 </t>
  </si>
  <si>
    <t> 0.011 </t>
  </si>
  <si>
    <t>2427535.286 </t>
  </si>
  <si>
    <t> 07.04.1934 18:51 </t>
  </si>
  <si>
    <t> -0.016 </t>
  </si>
  <si>
    <t>2427692.561 </t>
  </si>
  <si>
    <t> 12.09.1934 01:27 </t>
  </si>
  <si>
    <t> -0.022 </t>
  </si>
  <si>
    <t>2427693.504 </t>
  </si>
  <si>
    <t> 13.09.1934 00:05 </t>
  </si>
  <si>
    <t> -0.010 </t>
  </si>
  <si>
    <t>2428165.344 </t>
  </si>
  <si>
    <t> 28.12.1935 20:15 </t>
  </si>
  <si>
    <t> -0.013 </t>
  </si>
  <si>
    <t>2432539.490 </t>
  </si>
  <si>
    <t> 19.12.1947 23:45 </t>
  </si>
  <si>
    <t> 0.040 </t>
  </si>
  <si>
    <t> R.Szafraniec </t>
  </si>
  <si>
    <t> AAC 4.83 </t>
  </si>
  <si>
    <t>2432609.275 </t>
  </si>
  <si>
    <t> 27.02.1948 18:36 </t>
  </si>
  <si>
    <t> 0.026 </t>
  </si>
  <si>
    <t>2432794.474 </t>
  </si>
  <si>
    <t> 30.08.1948 23:22 </t>
  </si>
  <si>
    <t> 0.024 </t>
  </si>
  <si>
    <t>2432807.506 </t>
  </si>
  <si>
    <t> 13.09.1948 00:08 </t>
  </si>
  <si>
    <t> 0.027 </t>
  </si>
  <si>
    <t> AAC 4.115 </t>
  </si>
  <si>
    <t>2432888.449 </t>
  </si>
  <si>
    <t> 02.12.1948 22:46 </t>
  </si>
  <si>
    <t> 0.002 </t>
  </si>
  <si>
    <t>2432889.385 </t>
  </si>
  <si>
    <t> 03.12.1948 21:14 </t>
  </si>
  <si>
    <t> 0.008 </t>
  </si>
  <si>
    <t>2433211.378 </t>
  </si>
  <si>
    <t> 21.10.1949 21:04 </t>
  </si>
  <si>
    <t> -0.007 </t>
  </si>
  <si>
    <t> AAC 5.6 </t>
  </si>
  <si>
    <t>2433265.367 </t>
  </si>
  <si>
    <t> 14.12.1949 20:48 </t>
  </si>
  <si>
    <t> 0.004 </t>
  </si>
  <si>
    <t>2433305.368 </t>
  </si>
  <si>
    <t> 23.01.1950 20:49 </t>
  </si>
  <si>
    <t>2433306.305 </t>
  </si>
  <si>
    <t> 24.01.1950 19:19 </t>
  </si>
  <si>
    <t> AAC 5.9 </t>
  </si>
  <si>
    <t>2433332.362 </t>
  </si>
  <si>
    <t> 19.02.1950 20:41 </t>
  </si>
  <si>
    <t> -0.009 </t>
  </si>
  <si>
    <t>2433570.619 </t>
  </si>
  <si>
    <t> 16.10.1950 02:51 </t>
  </si>
  <si>
    <t> 0.000 </t>
  </si>
  <si>
    <t>2433599.470 </t>
  </si>
  <si>
    <t> 13.11.1950 23:16 </t>
  </si>
  <si>
    <t> 0.001 </t>
  </si>
  <si>
    <t>2433949.379 </t>
  </si>
  <si>
    <t> 29.10.1951 21:05 </t>
  </si>
  <si>
    <t> -0.018 </t>
  </si>
  <si>
    <t> AAC 5.12 </t>
  </si>
  <si>
    <t>2434043.375 </t>
  </si>
  <si>
    <t> 31.01.1952 21:00 </t>
  </si>
  <si>
    <t>2434419.380 </t>
  </si>
  <si>
    <t> 10.02.1953 21:07 </t>
  </si>
  <si>
    <t> AAC 5.192 </t>
  </si>
  <si>
    <t>2434698.546 </t>
  </si>
  <si>
    <t> 17.11.1953 01:06 </t>
  </si>
  <si>
    <t> -0.030 </t>
  </si>
  <si>
    <t>2435075.503 </t>
  </si>
  <si>
    <t> 29.11.1954 00:04 </t>
  </si>
  <si>
    <t> 0.010 </t>
  </si>
  <si>
    <t> AAC 5.195 </t>
  </si>
  <si>
    <t>2435130.388 </t>
  </si>
  <si>
    <t> 22.01.1955 21:18 </t>
  </si>
  <si>
    <t> -0.014 </t>
  </si>
  <si>
    <t>2436163.436 </t>
  </si>
  <si>
    <t> 20.11.1957 22:27 </t>
  </si>
  <si>
    <t> AA 8.192 </t>
  </si>
  <si>
    <t>2451570.5265 </t>
  </si>
  <si>
    <t> 27.01.2000 00:38 </t>
  </si>
  <si>
    <t> 0.0511 </t>
  </si>
  <si>
    <t>E </t>
  </si>
  <si>
    <t>-I</t>
  </si>
  <si>
    <t> W.Quester </t>
  </si>
  <si>
    <t>BAVM 152 </t>
  </si>
  <si>
    <t>2451839.4881 </t>
  </si>
  <si>
    <t> 21.10.2000 23:42 </t>
  </si>
  <si>
    <t>17954</t>
  </si>
  <si>
    <t> 0.0526 </t>
  </si>
  <si>
    <t>2451840.4204 </t>
  </si>
  <si>
    <t> 22.10.2000 22:05 </t>
  </si>
  <si>
    <t>17955</t>
  </si>
  <si>
    <t> 0.0542 </t>
  </si>
  <si>
    <t>2452656.6115 </t>
  </si>
  <si>
    <t> 17.01.2003 02:40 </t>
  </si>
  <si>
    <t>18832</t>
  </si>
  <si>
    <t> 0.0582 </t>
  </si>
  <si>
    <t>?</t>
  </si>
  <si>
    <t> S.Dvorak </t>
  </si>
  <si>
    <t>IBVS 5502 </t>
  </si>
  <si>
    <t>2452685.458 </t>
  </si>
  <si>
    <t> 14.02.2003 22:59 </t>
  </si>
  <si>
    <t>18863</t>
  </si>
  <si>
    <t> 0.054 </t>
  </si>
  <si>
    <t>BAVM 158 </t>
  </si>
  <si>
    <t>2453637.5139 </t>
  </si>
  <si>
    <t> 24.09.2005 00:20 </t>
  </si>
  <si>
    <t>19886</t>
  </si>
  <si>
    <t> 0.0471 </t>
  </si>
  <si>
    <t>C </t>
  </si>
  <si>
    <t>R</t>
  </si>
  <si>
    <t> M.Lehky </t>
  </si>
  <si>
    <t>OEJV 0107 </t>
  </si>
  <si>
    <t>2453705.4514 </t>
  </si>
  <si>
    <t> 30.11.2005 22:50 </t>
  </si>
  <si>
    <t>19959</t>
  </si>
  <si>
    <t> 0.0466 </t>
  </si>
  <si>
    <t> M. Zejda et al. </t>
  </si>
  <si>
    <t>IBVS 5741 </t>
  </si>
  <si>
    <t>2454026.528 </t>
  </si>
  <si>
    <t> 18.10.2006 00:40 </t>
  </si>
  <si>
    <t>20304</t>
  </si>
  <si>
    <t> 0.046 </t>
  </si>
  <si>
    <t>o</t>
  </si>
  <si>
    <t> Moschner &amp; Frank </t>
  </si>
  <si>
    <t>BAVM 186 </t>
  </si>
  <si>
    <t>2454135.4136 </t>
  </si>
  <si>
    <t> 03.02.2007 21:55 </t>
  </si>
  <si>
    <t>20421</t>
  </si>
  <si>
    <t> 0.0448 </t>
  </si>
  <si>
    <t>2454847.3682 </t>
  </si>
  <si>
    <t> 15.01.2009 20:50 </t>
  </si>
  <si>
    <t>21186</t>
  </si>
  <si>
    <t> 0.0460 </t>
  </si>
  <si>
    <t> W.Moschner &amp; P.Frank </t>
  </si>
  <si>
    <t>BAVM 209 </t>
  </si>
  <si>
    <t>2455245.6911 </t>
  </si>
  <si>
    <t> 18.02.2010 04:35 </t>
  </si>
  <si>
    <t>21614</t>
  </si>
  <si>
    <t> 0.0473 </t>
  </si>
  <si>
    <t> R.Diethelm </t>
  </si>
  <si>
    <t>IBVS 5945 </t>
  </si>
  <si>
    <t>2455957.6504 </t>
  </si>
  <si>
    <t> 31.01.2012 03:36 </t>
  </si>
  <si>
    <t>22379</t>
  </si>
  <si>
    <t> 0.0532 </t>
  </si>
  <si>
    <t>IBVS 6029 </t>
  </si>
  <si>
    <t>2456727.3077 </t>
  </si>
  <si>
    <t> 10.03.2014 19:23 </t>
  </si>
  <si>
    <t>23206</t>
  </si>
  <si>
    <t> 0.0564 </t>
  </si>
  <si>
    <t> U.Schmidt </t>
  </si>
  <si>
    <t>BAVM 238 </t>
  </si>
  <si>
    <t>2456932.5840 </t>
  </si>
  <si>
    <t> 02.10.2014 02:00 </t>
  </si>
  <si>
    <t>23426.5</t>
  </si>
  <si>
    <t> 0.1226 </t>
  </si>
  <si>
    <t>BAVM 239 </t>
  </si>
  <si>
    <t>2456964.6263 </t>
  </si>
  <si>
    <t> 03.11.2014 03:01 </t>
  </si>
  <si>
    <t>23461</t>
  </si>
  <si>
    <t> 0.0572 </t>
  </si>
  <si>
    <t> F.Agerer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</si>
</sst>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1" xfId="0" applyFont="1" applyFill="1" applyBorder="1" applyAlignment="1">
      <alignment horizontal="left" vertical="top" wrapText="1" inden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right" vertical="top" wrapText="1"/>
    </xf>
    <xf numFmtId="0" fontId="17" fillId="33" borderId="21" xfId="54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 Tau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35"/>
          <c:w val="0.90675"/>
          <c:h val="0.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A!$H$21:$H$996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A!$D$22:$D$47</c:f>
                <c:numCache>
                  <c:ptCount val="2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A!$I$21:$I$996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A!$J$21:$J$996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A!$K$21:$K$996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A!$L$21:$L$996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A!$M$21:$M$996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A!$N$21:$N$996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A!$F$21:$F$996</c:f>
              <c:numCache/>
            </c:numRef>
          </c:xVal>
          <c:yVal>
            <c:numRef>
              <c:f>A!$O$21:$O$996</c:f>
              <c:numCache/>
            </c:numRef>
          </c:yVal>
          <c:smooth val="0"/>
        </c:ser>
        <c:ser>
          <c:idx val="8"/>
          <c:order val="8"/>
          <c:tx>
            <c:strRef>
              <c:f>A!$T$1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A!$S$2:$S$19</c:f>
              <c:numCache/>
            </c:numRef>
          </c:xVal>
          <c:yVal>
            <c:numRef>
              <c:f>A!$T$2:$T$19</c:f>
              <c:numCache/>
            </c:numRef>
          </c:yVal>
          <c:smooth val="0"/>
        </c:ser>
        <c:ser>
          <c:idx val="9"/>
          <c:order val="9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A!$U$21:$U$996</c:f>
              <c:numCache/>
            </c:numRef>
          </c:yVal>
          <c:smooth val="0"/>
        </c:ser>
        <c:axId val="23576481"/>
        <c:axId val="10861738"/>
      </c:scatterChart>
      <c:val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crossBetween val="midCat"/>
        <c:dispUnits/>
      </c:val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93175"/>
          <c:w val="0.911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 Tau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325"/>
          <c:w val="0.90675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A!$H$21:$H$996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A!$D$22:$D$47</c:f>
                <c:numCache>
                  <c:ptCount val="2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A!$I$21:$I$996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A!$F$21:$F$996</c:f>
              <c:numCache/>
            </c:numRef>
          </c:xVal>
          <c:yVal>
            <c:numRef>
              <c:f>A!$J$21:$J$996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A!$K$21:$K$996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A!$L$21:$L$996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A!$M$21:$M$996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A!$N$21:$N$996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A!$F$21:$F$996</c:f>
              <c:numCache/>
            </c:numRef>
          </c:xVal>
          <c:yVal>
            <c:numRef>
              <c:f>A!$O$21:$O$996</c:f>
              <c:numCache/>
            </c:numRef>
          </c:yVal>
          <c:smooth val="0"/>
        </c:ser>
        <c:ser>
          <c:idx val="8"/>
          <c:order val="8"/>
          <c:tx>
            <c:strRef>
              <c:f>A!$T$1</c:f>
              <c:strCache>
                <c:ptCount val="1"/>
                <c:pt idx="0">
                  <c:v>Q.fit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A!$S$2:$S$19</c:f>
              <c:numCache/>
            </c:numRef>
          </c:xVal>
          <c:yVal>
            <c:numRef>
              <c:f>A!$T$2:$T$19</c:f>
              <c:numCache/>
            </c:numRef>
          </c:yVal>
          <c:smooth val="0"/>
        </c:ser>
        <c:ser>
          <c:idx val="9"/>
          <c:order val="9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A!$F$21:$F$996</c:f>
              <c:numCache/>
            </c:numRef>
          </c:xVal>
          <c:yVal>
            <c:numRef>
              <c:f>A!$U$21:$U$996</c:f>
              <c:numCache/>
            </c:numRef>
          </c:yVal>
          <c:smooth val="0"/>
        </c:ser>
        <c:axId val="30646779"/>
        <c:axId val="7385556"/>
      </c:scatterChart>
      <c:valAx>
        <c:axId val="30646779"/>
        <c:scaling>
          <c:orientation val="minMax"/>
          <c:min val="1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crossBetween val="midCat"/>
        <c:dispUnits/>
      </c:valAx>
      <c:valAx>
        <c:axId val="7385556"/>
        <c:scaling>
          <c:orientation val="minMax"/>
          <c:max val="0.08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65"/>
          <c:y val="0.932"/>
          <c:w val="0.910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0</xdr:row>
      <xdr:rowOff>104775</xdr:rowOff>
    </xdr:from>
    <xdr:to>
      <xdr:col>25</xdr:col>
      <xdr:colOff>609600</xdr:colOff>
      <xdr:row>18</xdr:row>
      <xdr:rowOff>152400</xdr:rowOff>
    </xdr:to>
    <xdr:graphicFrame>
      <xdr:nvGraphicFramePr>
        <xdr:cNvPr id="1" name="Chart 2"/>
        <xdr:cNvGraphicFramePr/>
      </xdr:nvGraphicFramePr>
      <xdr:xfrm>
        <a:off x="11144250" y="104775"/>
        <a:ext cx="59055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16</xdr:col>
      <xdr:colOff>171450</xdr:colOff>
      <xdr:row>18</xdr:row>
      <xdr:rowOff>57150</xdr:rowOff>
    </xdr:to>
    <xdr:graphicFrame>
      <xdr:nvGraphicFramePr>
        <xdr:cNvPr id="2" name="Chart 3"/>
        <xdr:cNvGraphicFramePr/>
      </xdr:nvGraphicFramePr>
      <xdr:xfrm>
        <a:off x="4552950" y="0"/>
        <a:ext cx="5915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www.bav-astro.de/sfs/BAVM_link.php?BAVMnr=152" TargetMode="External" /><Relationship Id="rId3" Type="http://schemas.openxmlformats.org/officeDocument/2006/relationships/hyperlink" Target="http://www.bav-astro.de/sfs/BAVM_link.php?BAVMnr=152" TargetMode="External" /><Relationship Id="rId4" Type="http://schemas.openxmlformats.org/officeDocument/2006/relationships/hyperlink" Target="http://www.konkoly.hu/cgi-bin/IBVS?5502" TargetMode="External" /><Relationship Id="rId5" Type="http://schemas.openxmlformats.org/officeDocument/2006/relationships/hyperlink" Target="http://www.bav-astro.de/sfs/BAVM_link.php?BAVMnr=158" TargetMode="External" /><Relationship Id="rId6" Type="http://schemas.openxmlformats.org/officeDocument/2006/relationships/hyperlink" Target="http://var.astro.cz/oejv/issues/oejv0107.pdf" TargetMode="External" /><Relationship Id="rId7" Type="http://schemas.openxmlformats.org/officeDocument/2006/relationships/hyperlink" Target="http://www.konkoly.hu/cgi-bin/IBVS?5741" TargetMode="External" /><Relationship Id="rId8" Type="http://schemas.openxmlformats.org/officeDocument/2006/relationships/hyperlink" Target="http://www.bav-astro.de/sfs/BAVM_link.php?BAVMnr=186" TargetMode="External" /><Relationship Id="rId9" Type="http://schemas.openxmlformats.org/officeDocument/2006/relationships/hyperlink" Target="http://var.astro.cz/oejv/issues/oejv0107.pdf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konkoly.hu/cgi-bin/IBVS?5945" TargetMode="External" /><Relationship Id="rId12" Type="http://schemas.openxmlformats.org/officeDocument/2006/relationships/hyperlink" Target="http://www.konkoly.hu/cgi-bin/IBVS?6029" TargetMode="External" /><Relationship Id="rId13" Type="http://schemas.openxmlformats.org/officeDocument/2006/relationships/hyperlink" Target="http://www.bav-astro.de/sfs/BAVM_link.php?BAVMnr=238" TargetMode="External" /><Relationship Id="rId14" Type="http://schemas.openxmlformats.org/officeDocument/2006/relationships/hyperlink" Target="http://www.bav-astro.de/sfs/BAVM_link.php?BAVMnr=239" TargetMode="External" /><Relationship Id="rId15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1">
      <selection activeCell="D8" sqref="D8:E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10.7109375" style="0" customWidth="1"/>
    <col min="17" max="17" width="9.8515625" style="0" customWidth="1"/>
  </cols>
  <sheetData>
    <row r="1" spans="1:20" ht="21" thickBot="1">
      <c r="A1" s="1" t="s">
        <v>43</v>
      </c>
      <c r="S1" s="8" t="s">
        <v>10</v>
      </c>
      <c r="T1" s="8" t="s">
        <v>46</v>
      </c>
    </row>
    <row r="2" spans="1:20" ht="12.75">
      <c r="A2" t="s">
        <v>26</v>
      </c>
      <c r="B2" s="11" t="s">
        <v>35</v>
      </c>
      <c r="S2">
        <v>17000</v>
      </c>
      <c r="T2" s="30">
        <f aca="true" t="shared" si="0" ref="T2:T19">+D$11+D$12*S2+E$15*S2^2</f>
        <v>0.04573804611333321</v>
      </c>
    </row>
    <row r="3" spans="19:20" ht="13.5" thickBot="1">
      <c r="S3">
        <v>17250</v>
      </c>
      <c r="T3" s="30">
        <f t="shared" si="0"/>
        <v>0.04847282533135133</v>
      </c>
    </row>
    <row r="4" spans="1:20" ht="14.25" thickBot="1" thickTop="1">
      <c r="A4" s="7" t="s">
        <v>0</v>
      </c>
      <c r="C4" s="3">
        <v>35130.4018</v>
      </c>
      <c r="D4" s="4">
        <v>0.930658</v>
      </c>
      <c r="F4" s="26" t="str">
        <f>"F"&amp;B9</f>
        <v>F61</v>
      </c>
      <c r="G4" s="27" t="str">
        <f>"G"&amp;B9</f>
        <v>G61</v>
      </c>
      <c r="S4">
        <v>17500</v>
      </c>
      <c r="T4" s="30">
        <f t="shared" si="0"/>
        <v>0.05075831863601632</v>
      </c>
    </row>
    <row r="5" spans="1:20" ht="13.5" thickTop="1">
      <c r="A5" s="12" t="s">
        <v>36</v>
      </c>
      <c r="B5" s="13"/>
      <c r="C5" s="14">
        <v>-9.5</v>
      </c>
      <c r="D5" s="13" t="s">
        <v>37</v>
      </c>
      <c r="S5">
        <v>17750</v>
      </c>
      <c r="T5" s="30">
        <f t="shared" si="0"/>
        <v>0.05259452602732817</v>
      </c>
    </row>
    <row r="6" spans="1:20" ht="12.75">
      <c r="A6" s="7" t="s">
        <v>1</v>
      </c>
      <c r="S6">
        <v>18000</v>
      </c>
      <c r="T6" s="30">
        <f t="shared" si="0"/>
        <v>0.053981447505286884</v>
      </c>
    </row>
    <row r="7" spans="1:20" ht="12.75">
      <c r="A7" t="s">
        <v>2</v>
      </c>
      <c r="C7">
        <f>+C4</f>
        <v>35130.4018</v>
      </c>
      <c r="S7">
        <v>18250</v>
      </c>
      <c r="T7" s="30">
        <f t="shared" si="0"/>
        <v>0.054919083069892904</v>
      </c>
    </row>
    <row r="8" spans="1:20" ht="12.75">
      <c r="A8" t="s">
        <v>3</v>
      </c>
      <c r="C8">
        <f>+D4</f>
        <v>0.930658</v>
      </c>
      <c r="S8">
        <v>18500</v>
      </c>
      <c r="T8" s="30">
        <f t="shared" si="0"/>
        <v>0.055407432721145344</v>
      </c>
    </row>
    <row r="9" spans="1:20" ht="12.75">
      <c r="A9" s="28" t="s">
        <v>44</v>
      </c>
      <c r="B9" s="29">
        <v>61</v>
      </c>
      <c r="C9" s="30">
        <v>0.1</v>
      </c>
      <c r="S9">
        <v>18750</v>
      </c>
      <c r="T9" s="30">
        <f t="shared" si="0"/>
        <v>0.05544649645904487</v>
      </c>
    </row>
    <row r="10" spans="1:20" ht="13.5" thickBot="1">
      <c r="A10" s="13"/>
      <c r="B10" s="13"/>
      <c r="C10" s="6" t="s">
        <v>22</v>
      </c>
      <c r="D10" s="6" t="s">
        <v>23</v>
      </c>
      <c r="E10" s="13"/>
      <c r="S10">
        <v>19000</v>
      </c>
      <c r="T10" s="30">
        <f t="shared" si="0"/>
        <v>0.055036274283591036</v>
      </c>
    </row>
    <row r="11" spans="1:20" ht="12.75">
      <c r="A11" s="13" t="s">
        <v>16</v>
      </c>
      <c r="B11" s="13"/>
      <c r="C11" s="25">
        <f ca="1">INTERCEPT(INDIRECT($G$4):G992,INDIRECT($F$4):F992)</f>
        <v>-0.03684266417091034</v>
      </c>
      <c r="D11" s="31">
        <f>+E11*C9</f>
        <v>-1.1942516934383252</v>
      </c>
      <c r="E11" s="32">
        <v>-11.942516934383251</v>
      </c>
      <c r="S11">
        <v>19250</v>
      </c>
      <c r="T11" s="30">
        <f t="shared" si="0"/>
        <v>0.054176766194784065</v>
      </c>
    </row>
    <row r="12" spans="1:20" ht="12.75">
      <c r="A12" s="13" t="s">
        <v>17</v>
      </c>
      <c r="B12" s="13"/>
      <c r="C12" s="25">
        <f ca="1">SLOPE(INDIRECT($G$4):G992,INDIRECT($F$4):F992)</f>
        <v>3.991602579144986E-06</v>
      </c>
      <c r="D12" s="31">
        <f>+E12*F12</f>
        <v>0.0001340434571308279</v>
      </c>
      <c r="E12" s="33">
        <v>13.40434571308279</v>
      </c>
      <c r="F12" s="30">
        <v>1E-05</v>
      </c>
      <c r="S12">
        <v>19500</v>
      </c>
      <c r="T12" s="30">
        <f t="shared" si="0"/>
        <v>0.052867972192624624</v>
      </c>
    </row>
    <row r="13" spans="1:20" ht="12.75">
      <c r="A13" s="13" t="s">
        <v>21</v>
      </c>
      <c r="B13" s="13"/>
      <c r="C13" s="5" t="s">
        <v>14</v>
      </c>
      <c r="F13" s="30">
        <v>1E-09</v>
      </c>
      <c r="S13">
        <v>19750</v>
      </c>
      <c r="T13" s="30">
        <f t="shared" si="0"/>
        <v>0.05110989227711138</v>
      </c>
    </row>
    <row r="14" spans="1:20" ht="12.75">
      <c r="A14" s="13"/>
      <c r="B14" s="13"/>
      <c r="C14" s="13"/>
      <c r="S14">
        <v>20000</v>
      </c>
      <c r="T14" s="30">
        <f t="shared" si="0"/>
        <v>0.04890252644824522</v>
      </c>
    </row>
    <row r="15" spans="1:20" ht="13.5" thickBot="1">
      <c r="A15" s="15" t="s">
        <v>18</v>
      </c>
      <c r="B15" s="13"/>
      <c r="C15" s="16">
        <f>(C7+C11)+(C8+C12)*INT(MAX(F21:F3533))</f>
        <v>56964.62594232394</v>
      </c>
      <c r="E15" s="31">
        <f>+F15*F13</f>
        <v>-3.594287306824969E-09</v>
      </c>
      <c r="F15" s="34">
        <v>-3.594287306824969</v>
      </c>
      <c r="S15">
        <v>20250</v>
      </c>
      <c r="T15" s="30">
        <f t="shared" si="0"/>
        <v>0.046245874706025925</v>
      </c>
    </row>
    <row r="16" spans="1:20" ht="12.75">
      <c r="A16" s="19" t="s">
        <v>4</v>
      </c>
      <c r="B16" s="13"/>
      <c r="C16" s="20">
        <f>+C8+C12</f>
        <v>0.9306619916025791</v>
      </c>
      <c r="E16" s="13"/>
      <c r="F16" s="13">
        <f>SUM(R22:R30)</f>
        <v>52.79914948643922</v>
      </c>
      <c r="S16">
        <v>20500</v>
      </c>
      <c r="T16" s="30">
        <f t="shared" si="0"/>
        <v>0.04313993705045349</v>
      </c>
    </row>
    <row r="17" spans="1:20" ht="13.5" thickBot="1">
      <c r="A17" s="17" t="s">
        <v>40</v>
      </c>
      <c r="B17" s="13"/>
      <c r="C17" s="13">
        <f>COUNT(C21:C2191)</f>
        <v>49</v>
      </c>
      <c r="E17" s="17" t="s">
        <v>38</v>
      </c>
      <c r="F17" s="18">
        <f ca="1">TODAY()+15018.5-B5/24</f>
        <v>59906.5</v>
      </c>
      <c r="S17">
        <v>20750</v>
      </c>
      <c r="T17" s="30">
        <f t="shared" si="0"/>
        <v>0.039584713481528144</v>
      </c>
    </row>
    <row r="18" spans="1:20" ht="14.25" thickBot="1" thickTop="1">
      <c r="A18" s="19" t="s">
        <v>5</v>
      </c>
      <c r="B18" s="13"/>
      <c r="C18" s="22">
        <f>+C15</f>
        <v>56964.62594232394</v>
      </c>
      <c r="D18" s="23">
        <f>+C16</f>
        <v>0.9306619916025791</v>
      </c>
      <c r="E18" s="17" t="s">
        <v>39</v>
      </c>
      <c r="F18" s="18">
        <f>ROUND(2*(F17-C15)/C16,0)/2+1</f>
        <v>3162</v>
      </c>
      <c r="S18">
        <v>21000</v>
      </c>
      <c r="T18" s="30">
        <f t="shared" si="0"/>
        <v>0.03558020399924944</v>
      </c>
    </row>
    <row r="19" spans="5:20" ht="13.5" thickTop="1">
      <c r="E19" s="17" t="s">
        <v>41</v>
      </c>
      <c r="F19" s="21">
        <f>+C15+C16*F18-15018.5-C5/24</f>
        <v>44889.27499310463</v>
      </c>
      <c r="S19">
        <v>21250</v>
      </c>
      <c r="T19" s="30">
        <f t="shared" si="0"/>
        <v>0.031126408603617595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32</v>
      </c>
      <c r="J20" s="9" t="s">
        <v>19</v>
      </c>
      <c r="K20" s="9" t="s">
        <v>20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15</v>
      </c>
      <c r="U20" s="50" t="s">
        <v>52</v>
      </c>
    </row>
    <row r="21" spans="1:18" ht="12.75">
      <c r="A21" s="64" t="s">
        <v>69</v>
      </c>
      <c r="B21" s="65" t="s">
        <v>34</v>
      </c>
      <c r="C21" s="64">
        <v>27452.465</v>
      </c>
      <c r="D21" s="5"/>
      <c r="E21">
        <f aca="true" t="shared" si="1" ref="E21:E52">+(C21-C$7)/C$8</f>
        <v>-8250.00891842116</v>
      </c>
      <c r="F21">
        <f aca="true" t="shared" si="2" ref="F21:F52">ROUND(2*E21,0)/2</f>
        <v>-8250</v>
      </c>
      <c r="G21">
        <f aca="true" t="shared" si="3" ref="G21:G67">+C21-(C$7+F21*C$8)</f>
        <v>-0.008299999997689156</v>
      </c>
      <c r="K21">
        <f aca="true" t="shared" si="4" ref="K21:K48">+G21</f>
        <v>-0.008299999997689156</v>
      </c>
      <c r="O21">
        <f aca="true" t="shared" si="5" ref="O21:O48">+C$11+C$12*F21</f>
        <v>-0.06977338544885647</v>
      </c>
      <c r="P21" s="30">
        <f aca="true" t="shared" si="6" ref="P21:P48">+D$11+D$12*F21+E$15*F21^2</f>
        <v>-2.54474639458843</v>
      </c>
      <c r="Q21" s="2">
        <f aca="true" t="shared" si="7" ref="Q21:Q52">+C21-15018.5</f>
        <v>12433.965</v>
      </c>
      <c r="R21">
        <f aca="true" t="shared" si="8" ref="R21:R48">+(P21-G21)^2</f>
        <v>6.433560312632368</v>
      </c>
    </row>
    <row r="22" spans="1:18" ht="12.75">
      <c r="A22" s="64" t="s">
        <v>69</v>
      </c>
      <c r="B22" s="65" t="s">
        <v>34</v>
      </c>
      <c r="C22" s="64">
        <v>27453.383</v>
      </c>
      <c r="D22" s="5"/>
      <c r="E22">
        <f t="shared" si="1"/>
        <v>-8249.022519550681</v>
      </c>
      <c r="F22">
        <f t="shared" si="2"/>
        <v>-8249</v>
      </c>
      <c r="G22">
        <f t="shared" si="3"/>
        <v>-0.02095799999733572</v>
      </c>
      <c r="K22">
        <f t="shared" si="4"/>
        <v>-0.02095799999733572</v>
      </c>
      <c r="O22">
        <f t="shared" si="5"/>
        <v>-0.06976939384627732</v>
      </c>
      <c r="P22" s="30">
        <f t="shared" si="6"/>
        <v>-2.5445530489850237</v>
      </c>
      <c r="Q22" s="2">
        <f t="shared" si="7"/>
        <v>12434.883000000002</v>
      </c>
      <c r="R22">
        <f t="shared" si="8"/>
        <v>6.368531971275171</v>
      </c>
    </row>
    <row r="23" spans="1:18" ht="12.75">
      <c r="A23" s="64" t="s">
        <v>69</v>
      </c>
      <c r="B23" s="65" t="s">
        <v>34</v>
      </c>
      <c r="C23" s="64">
        <v>27455.278</v>
      </c>
      <c r="D23" s="5"/>
      <c r="E23">
        <f t="shared" si="1"/>
        <v>-8246.986325803895</v>
      </c>
      <c r="F23">
        <f t="shared" si="2"/>
        <v>-8247</v>
      </c>
      <c r="G23">
        <f t="shared" si="3"/>
        <v>0.012726000000839122</v>
      </c>
      <c r="K23">
        <f t="shared" si="4"/>
        <v>0.012726000000839122</v>
      </c>
      <c r="O23">
        <f t="shared" si="5"/>
        <v>-0.06976141064111904</v>
      </c>
      <c r="P23" s="30">
        <f t="shared" si="6"/>
        <v>-2.5441663793439355</v>
      </c>
      <c r="Q23" s="2">
        <f t="shared" si="7"/>
        <v>12436.777999999998</v>
      </c>
      <c r="R23">
        <f t="shared" si="8"/>
        <v>6.537698639551383</v>
      </c>
    </row>
    <row r="24" spans="1:18" ht="12.75">
      <c r="A24" s="64" t="s">
        <v>69</v>
      </c>
      <c r="B24" s="65" t="s">
        <v>34</v>
      </c>
      <c r="C24" s="64">
        <v>27507.395</v>
      </c>
      <c r="D24" s="5"/>
      <c r="E24">
        <f t="shared" si="1"/>
        <v>-8190.98616247859</v>
      </c>
      <c r="F24">
        <f t="shared" si="2"/>
        <v>-8191</v>
      </c>
      <c r="G24">
        <f t="shared" si="3"/>
        <v>0.012878000001364853</v>
      </c>
      <c r="K24">
        <f t="shared" si="4"/>
        <v>0.012878000001364853</v>
      </c>
      <c r="O24">
        <f t="shared" si="5"/>
        <v>-0.06953788089668692</v>
      </c>
      <c r="P24" s="30">
        <f t="shared" si="6"/>
        <v>-2.533351303638632</v>
      </c>
      <c r="Q24" s="2">
        <f t="shared" si="7"/>
        <v>12488.895</v>
      </c>
      <c r="R24">
        <f t="shared" si="8"/>
        <v>6.483283666715024</v>
      </c>
    </row>
    <row r="25" spans="1:18" ht="12.75">
      <c r="A25" s="64" t="s">
        <v>69</v>
      </c>
      <c r="B25" s="65" t="s">
        <v>34</v>
      </c>
      <c r="C25" s="64">
        <v>27534.382</v>
      </c>
      <c r="D25" s="5"/>
      <c r="E25">
        <f t="shared" si="1"/>
        <v>-8161.988399605439</v>
      </c>
      <c r="F25">
        <f t="shared" si="2"/>
        <v>-8162</v>
      </c>
      <c r="G25">
        <f t="shared" si="3"/>
        <v>0.010796000002301298</v>
      </c>
      <c r="K25">
        <f t="shared" si="4"/>
        <v>0.010796000002301298</v>
      </c>
      <c r="O25">
        <f t="shared" si="5"/>
        <v>-0.06942212442189172</v>
      </c>
      <c r="P25" s="30">
        <f t="shared" si="6"/>
        <v>-2.527759499352311</v>
      </c>
      <c r="Q25" s="2">
        <f t="shared" si="7"/>
        <v>12515.882000000001</v>
      </c>
      <c r="R25">
        <f t="shared" si="8"/>
        <v>6.444264023303545</v>
      </c>
    </row>
    <row r="26" spans="1:18" ht="12.75">
      <c r="A26" s="64" t="s">
        <v>69</v>
      </c>
      <c r="B26" s="65" t="s">
        <v>34</v>
      </c>
      <c r="C26" s="64">
        <v>27535.286</v>
      </c>
      <c r="D26" s="5"/>
      <c r="E26">
        <f t="shared" si="1"/>
        <v>-8161.017043854992</v>
      </c>
      <c r="F26">
        <f t="shared" si="2"/>
        <v>-8161</v>
      </c>
      <c r="G26">
        <f t="shared" si="3"/>
        <v>-0.01586200000019744</v>
      </c>
      <c r="K26">
        <f t="shared" si="4"/>
        <v>-0.01586200000019744</v>
      </c>
      <c r="O26">
        <f t="shared" si="5"/>
        <v>-0.06941813281931257</v>
      </c>
      <c r="P26" s="30">
        <f t="shared" si="6"/>
        <v>-2.527566786343471</v>
      </c>
      <c r="Q26" s="2">
        <f t="shared" si="7"/>
        <v>12516.786</v>
      </c>
      <c r="R26">
        <f t="shared" si="8"/>
        <v>6.308660933739709</v>
      </c>
    </row>
    <row r="27" spans="1:18" ht="12.75">
      <c r="A27" s="64" t="s">
        <v>69</v>
      </c>
      <c r="B27" s="65" t="s">
        <v>34</v>
      </c>
      <c r="C27" s="64">
        <v>27692.561</v>
      </c>
      <c r="D27" s="5"/>
      <c r="E27">
        <f t="shared" si="1"/>
        <v>-7992.023707957164</v>
      </c>
      <c r="F27">
        <f t="shared" si="2"/>
        <v>-7992</v>
      </c>
      <c r="G27">
        <f t="shared" si="3"/>
        <v>-0.022063999997044448</v>
      </c>
      <c r="K27">
        <f t="shared" si="4"/>
        <v>-0.022063999997044448</v>
      </c>
      <c r="O27">
        <f t="shared" si="5"/>
        <v>-0.06874355198343707</v>
      </c>
      <c r="P27" s="30">
        <f t="shared" si="6"/>
        <v>-2.495101551723814</v>
      </c>
      <c r="Q27" s="2">
        <f t="shared" si="7"/>
        <v>12674.061000000002</v>
      </c>
      <c r="R27">
        <f t="shared" si="8"/>
        <v>6.115914732250736</v>
      </c>
    </row>
    <row r="28" spans="1:18" ht="12.75">
      <c r="A28" s="64" t="s">
        <v>69</v>
      </c>
      <c r="B28" s="65" t="s">
        <v>34</v>
      </c>
      <c r="C28" s="64">
        <v>27693.504</v>
      </c>
      <c r="D28" s="5"/>
      <c r="E28">
        <f t="shared" si="1"/>
        <v>-7991.01044637235</v>
      </c>
      <c r="F28">
        <f t="shared" si="2"/>
        <v>-7991</v>
      </c>
      <c r="G28">
        <f t="shared" si="3"/>
        <v>-0.009721999998873798</v>
      </c>
      <c r="K28">
        <f t="shared" si="4"/>
        <v>-0.009721999998873798</v>
      </c>
      <c r="O28">
        <f t="shared" si="5"/>
        <v>-0.06873956038085792</v>
      </c>
      <c r="P28" s="30">
        <f t="shared" si="6"/>
        <v>-2.494910060772658</v>
      </c>
      <c r="Q28" s="2">
        <f t="shared" si="7"/>
        <v>12675.004</v>
      </c>
      <c r="R28">
        <f t="shared" si="8"/>
        <v>6.176159697412562</v>
      </c>
    </row>
    <row r="29" spans="1:18" ht="12.75">
      <c r="A29" s="64" t="s">
        <v>69</v>
      </c>
      <c r="B29" s="65" t="s">
        <v>34</v>
      </c>
      <c r="C29" s="64">
        <v>28165.344</v>
      </c>
      <c r="D29" s="5"/>
      <c r="E29">
        <f t="shared" si="1"/>
        <v>-7484.0143210502665</v>
      </c>
      <c r="F29">
        <f t="shared" si="2"/>
        <v>-7484</v>
      </c>
      <c r="G29">
        <f t="shared" si="3"/>
        <v>-0.013327999997272855</v>
      </c>
      <c r="K29">
        <f t="shared" si="4"/>
        <v>-0.013327999997272855</v>
      </c>
      <c r="O29">
        <f t="shared" si="5"/>
        <v>-0.06671581787323141</v>
      </c>
      <c r="P29" s="30">
        <f t="shared" si="6"/>
        <v>-2.398749878798258</v>
      </c>
      <c r="Q29" s="2">
        <f t="shared" si="7"/>
        <v>13146.844000000001</v>
      </c>
      <c r="R29">
        <f t="shared" si="8"/>
        <v>5.690237539862423</v>
      </c>
    </row>
    <row r="30" spans="1:18" ht="12.75">
      <c r="A30" s="64" t="s">
        <v>97</v>
      </c>
      <c r="B30" s="65" t="s">
        <v>34</v>
      </c>
      <c r="C30" s="64">
        <v>32539.49</v>
      </c>
      <c r="D30" s="5"/>
      <c r="E30">
        <f t="shared" si="1"/>
        <v>-2783.9569422924405</v>
      </c>
      <c r="F30">
        <f t="shared" si="2"/>
        <v>-2784</v>
      </c>
      <c r="G30">
        <f t="shared" si="3"/>
        <v>0.040072000003419816</v>
      </c>
      <c r="K30">
        <f t="shared" si="4"/>
        <v>0.040072000003419816</v>
      </c>
      <c r="O30">
        <f t="shared" si="5"/>
        <v>-0.04795528575124998</v>
      </c>
      <c r="P30" s="30">
        <f t="shared" si="6"/>
        <v>-1.5952867625709168</v>
      </c>
      <c r="Q30" s="2">
        <f t="shared" si="7"/>
        <v>17520.99</v>
      </c>
      <c r="R30">
        <f t="shared" si="8"/>
        <v>2.6743982823286654</v>
      </c>
    </row>
    <row r="31" spans="1:18" ht="12.75">
      <c r="A31" s="64" t="s">
        <v>69</v>
      </c>
      <c r="B31" s="65" t="s">
        <v>34</v>
      </c>
      <c r="C31" s="64">
        <v>32609.275</v>
      </c>
      <c r="D31" s="5"/>
      <c r="E31">
        <f t="shared" si="1"/>
        <v>-2708.9723614904706</v>
      </c>
      <c r="F31">
        <f t="shared" si="2"/>
        <v>-2709</v>
      </c>
      <c r="G31">
        <f t="shared" si="3"/>
        <v>0.025722000002133427</v>
      </c>
      <c r="K31">
        <f t="shared" si="4"/>
        <v>0.025722000002133427</v>
      </c>
      <c r="O31">
        <f t="shared" si="5"/>
        <v>-0.04765591555781411</v>
      </c>
      <c r="P31" s="30">
        <f t="shared" si="6"/>
        <v>-1.5837527467728756</v>
      </c>
      <c r="Q31" s="2">
        <f t="shared" si="7"/>
        <v>17590.775</v>
      </c>
      <c r="R31">
        <f t="shared" si="8"/>
        <v>2.5904089605064793</v>
      </c>
    </row>
    <row r="32" spans="1:18" ht="12.75">
      <c r="A32" s="64" t="s">
        <v>69</v>
      </c>
      <c r="B32" s="65" t="s">
        <v>34</v>
      </c>
      <c r="C32" s="64">
        <v>32794.474</v>
      </c>
      <c r="D32" s="5"/>
      <c r="E32">
        <f t="shared" si="1"/>
        <v>-2509.9744481861194</v>
      </c>
      <c r="F32">
        <f t="shared" si="2"/>
        <v>-2510</v>
      </c>
      <c r="G32">
        <f t="shared" si="3"/>
        <v>0.023780000003171153</v>
      </c>
      <c r="K32">
        <f t="shared" si="4"/>
        <v>0.023780000003171153</v>
      </c>
      <c r="O32">
        <f t="shared" si="5"/>
        <v>-0.04686158664456425</v>
      </c>
      <c r="P32" s="30">
        <f t="shared" si="6"/>
        <v>-1.5533451402984313</v>
      </c>
      <c r="Q32" s="2">
        <f t="shared" si="7"/>
        <v>17775.974000000002</v>
      </c>
      <c r="R32">
        <f t="shared" si="8"/>
        <v>2.487323708171349</v>
      </c>
    </row>
    <row r="33" spans="1:18" ht="12.75">
      <c r="A33" s="64" t="s">
        <v>107</v>
      </c>
      <c r="B33" s="65" t="s">
        <v>34</v>
      </c>
      <c r="C33" s="64">
        <v>32807.506</v>
      </c>
      <c r="E33">
        <f t="shared" si="1"/>
        <v>-2495.9714524562173</v>
      </c>
      <c r="F33">
        <f t="shared" si="2"/>
        <v>-2496</v>
      </c>
      <c r="G33">
        <f t="shared" si="3"/>
        <v>0.02656800000113435</v>
      </c>
      <c r="K33">
        <f t="shared" si="4"/>
        <v>0.02656800000113435</v>
      </c>
      <c r="O33">
        <f t="shared" si="5"/>
        <v>-0.04680570420845622</v>
      </c>
      <c r="P33" s="30">
        <f t="shared" si="6"/>
        <v>-1.551216629866988</v>
      </c>
      <c r="Q33" s="2">
        <f t="shared" si="7"/>
        <v>17789.006</v>
      </c>
      <c r="R33">
        <f t="shared" si="8"/>
        <v>2.489404338248088</v>
      </c>
    </row>
    <row r="34" spans="1:18" ht="12.75">
      <c r="A34" s="64" t="s">
        <v>69</v>
      </c>
      <c r="B34" s="65" t="s">
        <v>34</v>
      </c>
      <c r="C34" s="64">
        <v>32888.449</v>
      </c>
      <c r="E34">
        <f t="shared" si="1"/>
        <v>-2408.9975049910913</v>
      </c>
      <c r="F34">
        <f t="shared" si="2"/>
        <v>-2409</v>
      </c>
      <c r="G34">
        <f t="shared" si="3"/>
        <v>0.002322000000276603</v>
      </c>
      <c r="K34">
        <f t="shared" si="4"/>
        <v>0.002322000000276603</v>
      </c>
      <c r="O34">
        <f t="shared" si="5"/>
        <v>-0.04645843478407061</v>
      </c>
      <c r="P34" s="30">
        <f t="shared" si="6"/>
        <v>-1.5380210409027282</v>
      </c>
      <c r="Q34" s="2">
        <f t="shared" si="7"/>
        <v>17869.949</v>
      </c>
      <c r="R34">
        <f t="shared" si="8"/>
        <v>2.372656683658316</v>
      </c>
    </row>
    <row r="35" spans="1:18" ht="12.75">
      <c r="A35" s="64" t="s">
        <v>107</v>
      </c>
      <c r="B35" s="65" t="s">
        <v>34</v>
      </c>
      <c r="C35" s="64">
        <v>32889.385</v>
      </c>
      <c r="E35">
        <f t="shared" si="1"/>
        <v>-2407.9917649662902</v>
      </c>
      <c r="F35">
        <f t="shared" si="2"/>
        <v>-2408</v>
      </c>
      <c r="G35">
        <f t="shared" si="3"/>
        <v>0.007664000004297122</v>
      </c>
      <c r="K35">
        <f t="shared" si="4"/>
        <v>0.007664000004297122</v>
      </c>
      <c r="O35">
        <f t="shared" si="5"/>
        <v>-0.046454443181491466</v>
      </c>
      <c r="P35" s="30">
        <f t="shared" si="6"/>
        <v>-1.5378696837636403</v>
      </c>
      <c r="Q35" s="2">
        <f t="shared" si="7"/>
        <v>17870.885000000002</v>
      </c>
      <c r="R35">
        <f t="shared" si="8"/>
        <v>2.3886743676612907</v>
      </c>
    </row>
    <row r="36" spans="1:18" ht="12.75">
      <c r="A36" s="64" t="s">
        <v>117</v>
      </c>
      <c r="B36" s="65" t="s">
        <v>34</v>
      </c>
      <c r="C36" s="64">
        <v>33211.378</v>
      </c>
      <c r="E36">
        <f t="shared" si="1"/>
        <v>-2062.007525858052</v>
      </c>
      <c r="F36">
        <f t="shared" si="2"/>
        <v>-2062</v>
      </c>
      <c r="G36">
        <f t="shared" si="3"/>
        <v>-0.007003999999142252</v>
      </c>
      <c r="K36">
        <f t="shared" si="4"/>
        <v>-0.007003999999142252</v>
      </c>
      <c r="O36">
        <f t="shared" si="5"/>
        <v>-0.0450733486891073</v>
      </c>
      <c r="P36" s="30">
        <f t="shared" si="6"/>
        <v>-1.4859316509618923</v>
      </c>
      <c r="Q36" s="2">
        <f t="shared" si="7"/>
        <v>18192.877999999997</v>
      </c>
      <c r="R36">
        <f t="shared" si="8"/>
        <v>2.1872269967821976</v>
      </c>
    </row>
    <row r="37" spans="1:18" ht="12.75">
      <c r="A37" s="64" t="s">
        <v>69</v>
      </c>
      <c r="B37" s="65" t="s">
        <v>34</v>
      </c>
      <c r="C37" s="64">
        <v>33265.367</v>
      </c>
      <c r="E37">
        <f t="shared" si="1"/>
        <v>-2003.9958824831476</v>
      </c>
      <c r="F37">
        <f t="shared" si="2"/>
        <v>-2004</v>
      </c>
      <c r="G37">
        <f t="shared" si="3"/>
        <v>0.003832000002148561</v>
      </c>
      <c r="K37">
        <f t="shared" si="4"/>
        <v>0.003832000002148561</v>
      </c>
      <c r="O37">
        <f t="shared" si="5"/>
        <v>-0.04484183573951689</v>
      </c>
      <c r="P37" s="30">
        <f t="shared" si="6"/>
        <v>-1.4773094968613103</v>
      </c>
      <c r="Q37" s="2">
        <f t="shared" si="7"/>
        <v>18246.867</v>
      </c>
      <c r="R37">
        <f t="shared" si="8"/>
        <v>2.1937801337309275</v>
      </c>
    </row>
    <row r="38" spans="1:18" ht="12.75">
      <c r="A38" s="64" t="s">
        <v>69</v>
      </c>
      <c r="B38" s="65" t="s">
        <v>34</v>
      </c>
      <c r="C38" s="64">
        <v>33305.368</v>
      </c>
      <c r="E38">
        <f t="shared" si="1"/>
        <v>-1961.014465034414</v>
      </c>
      <c r="F38">
        <f t="shared" si="2"/>
        <v>-1961</v>
      </c>
      <c r="G38">
        <f t="shared" si="3"/>
        <v>-0.013461999995342921</v>
      </c>
      <c r="K38">
        <f t="shared" si="4"/>
        <v>-0.013461999995342921</v>
      </c>
      <c r="O38">
        <f t="shared" si="5"/>
        <v>-0.04467019682861366</v>
      </c>
      <c r="P38" s="30">
        <f t="shared" si="6"/>
        <v>-1.4709328201903076</v>
      </c>
      <c r="Q38" s="2">
        <f t="shared" si="7"/>
        <v>18286.868000000002</v>
      </c>
      <c r="R38">
        <f t="shared" si="8"/>
        <v>2.124221191719783</v>
      </c>
    </row>
    <row r="39" spans="1:18" ht="12.75">
      <c r="A39" s="64" t="s">
        <v>125</v>
      </c>
      <c r="B39" s="65" t="s">
        <v>34</v>
      </c>
      <c r="C39" s="64">
        <v>33306.305</v>
      </c>
      <c r="E39">
        <f t="shared" si="1"/>
        <v>-1960.0076505010427</v>
      </c>
      <c r="F39">
        <f t="shared" si="2"/>
        <v>-1960</v>
      </c>
      <c r="G39">
        <f t="shared" si="3"/>
        <v>-0.0071200000020326115</v>
      </c>
      <c r="K39">
        <f t="shared" si="4"/>
        <v>-0.0071200000020326115</v>
      </c>
      <c r="O39">
        <f t="shared" si="5"/>
        <v>-0.04466620522603451</v>
      </c>
      <c r="P39" s="30">
        <f t="shared" si="6"/>
        <v>-1.4707846835326466</v>
      </c>
      <c r="Q39" s="2">
        <f t="shared" si="7"/>
        <v>18287.805</v>
      </c>
      <c r="R39">
        <f t="shared" si="8"/>
        <v>2.1423143058147724</v>
      </c>
    </row>
    <row r="40" spans="1:18" ht="12.75">
      <c r="A40" s="64" t="s">
        <v>69</v>
      </c>
      <c r="B40" s="65" t="s">
        <v>34</v>
      </c>
      <c r="C40" s="64">
        <v>33332.362</v>
      </c>
      <c r="E40">
        <f t="shared" si="1"/>
        <v>-1932.0091806012506</v>
      </c>
      <c r="F40">
        <f t="shared" si="2"/>
        <v>-1932</v>
      </c>
      <c r="G40">
        <f t="shared" si="3"/>
        <v>-0.008543999996618368</v>
      </c>
      <c r="K40">
        <f t="shared" si="4"/>
        <v>-0.008543999996618368</v>
      </c>
      <c r="O40">
        <f t="shared" si="5"/>
        <v>-0.044554440353818454</v>
      </c>
      <c r="P40" s="30">
        <f t="shared" si="6"/>
        <v>-1.4666397756794347</v>
      </c>
      <c r="Q40" s="2">
        <f t="shared" si="7"/>
        <v>18313.862</v>
      </c>
      <c r="R40">
        <f t="shared" si="8"/>
        <v>2.126043291064074</v>
      </c>
    </row>
    <row r="41" spans="1:18" ht="12.75">
      <c r="A41" s="64" t="s">
        <v>69</v>
      </c>
      <c r="B41" s="65" t="s">
        <v>34</v>
      </c>
      <c r="C41" s="64">
        <v>33570.619</v>
      </c>
      <c r="E41">
        <f t="shared" si="1"/>
        <v>-1675.9999914039324</v>
      </c>
      <c r="F41">
        <f t="shared" si="2"/>
        <v>-1676</v>
      </c>
      <c r="G41">
        <f t="shared" si="3"/>
        <v>7.999995432328433E-06</v>
      </c>
      <c r="K41">
        <f t="shared" si="4"/>
        <v>7.999995432328433E-06</v>
      </c>
      <c r="O41">
        <f t="shared" si="5"/>
        <v>-0.04353259009355734</v>
      </c>
      <c r="P41" s="30">
        <f t="shared" si="6"/>
        <v>-1.4290047943715687</v>
      </c>
      <c r="Q41" s="2">
        <f t="shared" si="7"/>
        <v>18552.119</v>
      </c>
      <c r="R41">
        <f t="shared" si="8"/>
        <v>2.042077566464585</v>
      </c>
    </row>
    <row r="42" spans="1:18" ht="12.75">
      <c r="A42" s="64" t="s">
        <v>125</v>
      </c>
      <c r="B42" s="65" t="s">
        <v>34</v>
      </c>
      <c r="C42" s="64">
        <v>33599.47</v>
      </c>
      <c r="E42">
        <f t="shared" si="1"/>
        <v>-1644.9993445497685</v>
      </c>
      <c r="F42">
        <f t="shared" si="2"/>
        <v>-1645</v>
      </c>
      <c r="G42">
        <f t="shared" si="3"/>
        <v>0.0006100000027799979</v>
      </c>
      <c r="K42">
        <f t="shared" si="4"/>
        <v>0.0006100000027799979</v>
      </c>
      <c r="O42">
        <f t="shared" si="5"/>
        <v>-0.04340885041360384</v>
      </c>
      <c r="P42" s="30">
        <f t="shared" si="6"/>
        <v>-1.4244794117279882</v>
      </c>
      <c r="Q42" s="2">
        <f t="shared" si="7"/>
        <v>18580.97</v>
      </c>
      <c r="R42">
        <f t="shared" si="8"/>
        <v>2.030879831427147</v>
      </c>
    </row>
    <row r="43" spans="1:18" ht="12.75">
      <c r="A43" s="64" t="s">
        <v>138</v>
      </c>
      <c r="B43" s="65" t="s">
        <v>34</v>
      </c>
      <c r="C43" s="64">
        <v>33949.379</v>
      </c>
      <c r="E43">
        <f t="shared" si="1"/>
        <v>-1269.01912410359</v>
      </c>
      <c r="F43">
        <f t="shared" si="2"/>
        <v>-1269</v>
      </c>
      <c r="G43">
        <f t="shared" si="3"/>
        <v>-0.01779800000076648</v>
      </c>
      <c r="K43">
        <f t="shared" si="4"/>
        <v>-0.01779800000076648</v>
      </c>
      <c r="O43">
        <f t="shared" si="5"/>
        <v>-0.041908007843845324</v>
      </c>
      <c r="P43" s="30">
        <f t="shared" si="6"/>
        <v>-1.3701409406390517</v>
      </c>
      <c r="Q43" s="2">
        <f t="shared" si="7"/>
        <v>18930.879</v>
      </c>
      <c r="R43">
        <f t="shared" si="8"/>
        <v>1.8288314290942045</v>
      </c>
    </row>
    <row r="44" spans="1:18" ht="12.75">
      <c r="A44" s="64" t="s">
        <v>69</v>
      </c>
      <c r="B44" s="65" t="s">
        <v>34</v>
      </c>
      <c r="C44" s="64">
        <v>34043.375</v>
      </c>
      <c r="E44">
        <f t="shared" si="1"/>
        <v>-1168.0196162285174</v>
      </c>
      <c r="F44">
        <f t="shared" si="2"/>
        <v>-1168</v>
      </c>
      <c r="G44">
        <f t="shared" si="3"/>
        <v>-0.018256000003020745</v>
      </c>
      <c r="K44">
        <f t="shared" si="4"/>
        <v>-0.018256000003020745</v>
      </c>
      <c r="O44">
        <f t="shared" si="5"/>
        <v>-0.041504855983351685</v>
      </c>
      <c r="P44" s="30">
        <f t="shared" si="6"/>
        <v>-1.355717864373998</v>
      </c>
      <c r="Q44" s="2">
        <f t="shared" si="7"/>
        <v>19024.875</v>
      </c>
      <c r="R44">
        <f t="shared" si="8"/>
        <v>1.7888042386466902</v>
      </c>
    </row>
    <row r="45" spans="1:18" ht="12.75">
      <c r="A45" s="64" t="s">
        <v>143</v>
      </c>
      <c r="B45" s="65" t="s">
        <v>34</v>
      </c>
      <c r="C45" s="64">
        <v>34419.38</v>
      </c>
      <c r="E45">
        <f t="shared" si="1"/>
        <v>-763.9990200481834</v>
      </c>
      <c r="F45">
        <f t="shared" si="2"/>
        <v>-764</v>
      </c>
      <c r="G45">
        <f t="shared" si="3"/>
        <v>0.000911999995878432</v>
      </c>
      <c r="K45">
        <f t="shared" si="4"/>
        <v>0.000911999995878432</v>
      </c>
      <c r="O45">
        <f t="shared" si="5"/>
        <v>-0.03989224854137711</v>
      </c>
      <c r="P45" s="30">
        <f t="shared" si="6"/>
        <v>-1.2987588658101221</v>
      </c>
      <c r="Q45" s="2">
        <f t="shared" si="7"/>
        <v>19400.879999999997</v>
      </c>
      <c r="R45">
        <f t="shared" si="8"/>
        <v>1.6891443594249191</v>
      </c>
    </row>
    <row r="46" spans="1:18" ht="12.75">
      <c r="A46" s="64" t="s">
        <v>143</v>
      </c>
      <c r="B46" s="65" t="s">
        <v>34</v>
      </c>
      <c r="C46" s="64">
        <v>34698.546</v>
      </c>
      <c r="E46">
        <f t="shared" si="1"/>
        <v>-464.0327596173864</v>
      </c>
      <c r="F46">
        <f t="shared" si="2"/>
        <v>-464</v>
      </c>
      <c r="G46">
        <f t="shared" si="3"/>
        <v>-0.03048799999669427</v>
      </c>
      <c r="K46">
        <f t="shared" si="4"/>
        <v>-0.03048799999669427</v>
      </c>
      <c r="O46">
        <f t="shared" si="5"/>
        <v>-0.038694767767633614</v>
      </c>
      <c r="P46" s="30">
        <f t="shared" si="6"/>
        <v>-1.2572216932270395</v>
      </c>
      <c r="Q46" s="2">
        <f t="shared" si="7"/>
        <v>19680.046000000002</v>
      </c>
      <c r="R46">
        <f t="shared" si="8"/>
        <v>1.5048755541065626</v>
      </c>
    </row>
    <row r="47" spans="1:18" ht="12.75">
      <c r="A47" s="64" t="s">
        <v>150</v>
      </c>
      <c r="B47" s="65" t="s">
        <v>34</v>
      </c>
      <c r="C47" s="64">
        <v>35075.503</v>
      </c>
      <c r="E47">
        <f t="shared" si="1"/>
        <v>-58.989231275079206</v>
      </c>
      <c r="F47">
        <f t="shared" si="2"/>
        <v>-59</v>
      </c>
      <c r="G47">
        <f t="shared" si="3"/>
        <v>0.01002199999493314</v>
      </c>
      <c r="K47">
        <f t="shared" si="4"/>
        <v>0.01002199999493314</v>
      </c>
      <c r="O47">
        <f t="shared" si="5"/>
        <v>-0.037078168723079896</v>
      </c>
      <c r="P47" s="30">
        <f t="shared" si="6"/>
        <v>-1.202172769123159</v>
      </c>
      <c r="Q47" s="2">
        <f t="shared" si="7"/>
        <v>20057.002999999997</v>
      </c>
      <c r="R47">
        <f t="shared" si="8"/>
        <v>1.4694161582772647</v>
      </c>
    </row>
    <row r="48" spans="1:18" ht="12.75">
      <c r="A48" s="64" t="s">
        <v>150</v>
      </c>
      <c r="B48" s="65" t="s">
        <v>34</v>
      </c>
      <c r="C48" s="64">
        <v>35130.388</v>
      </c>
      <c r="E48">
        <f t="shared" si="1"/>
        <v>-0.014828218315029413</v>
      </c>
      <c r="F48">
        <f t="shared" si="2"/>
        <v>0</v>
      </c>
      <c r="G48">
        <f t="shared" si="3"/>
        <v>-0.013800000000628643</v>
      </c>
      <c r="K48">
        <f t="shared" si="4"/>
        <v>-0.013800000000628643</v>
      </c>
      <c r="O48">
        <f t="shared" si="5"/>
        <v>-0.03684266417091034</v>
      </c>
      <c r="P48" s="30">
        <f t="shared" si="6"/>
        <v>-1.1942516934383252</v>
      </c>
      <c r="Q48" s="2">
        <f t="shared" si="7"/>
        <v>20111.888</v>
      </c>
      <c r="R48">
        <f t="shared" si="8"/>
        <v>1.3934662005399254</v>
      </c>
    </row>
    <row r="49" spans="1:17" ht="12.75">
      <c r="A49" t="s">
        <v>12</v>
      </c>
      <c r="C49" s="24">
        <v>35130.4018</v>
      </c>
      <c r="D49" s="24" t="s">
        <v>14</v>
      </c>
      <c r="E49">
        <f t="shared" si="1"/>
        <v>0</v>
      </c>
      <c r="F49">
        <f t="shared" si="2"/>
        <v>0</v>
      </c>
      <c r="G49">
        <f t="shared" si="3"/>
        <v>0</v>
      </c>
      <c r="H49">
        <f>+G49</f>
        <v>0</v>
      </c>
      <c r="P49" s="30"/>
      <c r="Q49" s="2">
        <f t="shared" si="7"/>
        <v>20111.9018</v>
      </c>
    </row>
    <row r="50" spans="1:18" ht="12.75">
      <c r="A50" s="64" t="s">
        <v>156</v>
      </c>
      <c r="B50" s="65" t="s">
        <v>34</v>
      </c>
      <c r="C50" s="64">
        <v>36163.436</v>
      </c>
      <c r="E50">
        <f t="shared" si="1"/>
        <v>1110.0041046227527</v>
      </c>
      <c r="F50">
        <f t="shared" si="2"/>
        <v>1110</v>
      </c>
      <c r="G50">
        <f t="shared" si="3"/>
        <v>0.0038200000053620897</v>
      </c>
      <c r="K50">
        <f>+G50</f>
        <v>0.0038200000053620897</v>
      </c>
      <c r="O50">
        <f>+C$11+C$12*F50</f>
        <v>-0.0324119853080594</v>
      </c>
      <c r="P50" s="30">
        <f aca="true" t="shared" si="9" ref="P50:P69">+D$11+D$12*F50+E$15*F50^2</f>
        <v>-1.0498919774138453</v>
      </c>
      <c r="Q50" s="2">
        <f t="shared" si="7"/>
        <v>21144.936</v>
      </c>
      <c r="R50">
        <f aca="true" t="shared" si="10" ref="R50:R67">+(P50-G50)^2</f>
        <v>1.1103089313566963</v>
      </c>
    </row>
    <row r="51" spans="1:18" ht="12.75">
      <c r="A51" s="10" t="s">
        <v>42</v>
      </c>
      <c r="B51" s="35" t="s">
        <v>34</v>
      </c>
      <c r="C51" s="36">
        <v>45990.305</v>
      </c>
      <c r="D51" s="10">
        <v>0.002</v>
      </c>
      <c r="E51">
        <f t="shared" si="1"/>
        <v>11669.059095822526</v>
      </c>
      <c r="F51">
        <f t="shared" si="2"/>
        <v>11669</v>
      </c>
      <c r="G51">
        <f t="shared" si="3"/>
        <v>0.05499799999961397</v>
      </c>
      <c r="I51">
        <f aca="true" t="shared" si="11" ref="I51:I57">+G51</f>
        <v>0.05499799999961397</v>
      </c>
      <c r="P51" s="30">
        <f t="shared" si="9"/>
        <v>-0.11951673970769539</v>
      </c>
      <c r="Q51" s="2">
        <f t="shared" si="7"/>
        <v>30971.805</v>
      </c>
      <c r="R51">
        <f t="shared" si="10"/>
        <v>0.030455394375109936</v>
      </c>
    </row>
    <row r="52" spans="1:18" ht="12.75">
      <c r="A52" s="10" t="s">
        <v>33</v>
      </c>
      <c r="B52" s="37"/>
      <c r="C52" s="38">
        <v>51570.5265</v>
      </c>
      <c r="D52" s="38">
        <v>0.0005</v>
      </c>
      <c r="E52">
        <f t="shared" si="1"/>
        <v>17665.054939623365</v>
      </c>
      <c r="F52">
        <f t="shared" si="2"/>
        <v>17665</v>
      </c>
      <c r="G52">
        <f t="shared" si="3"/>
        <v>0.051129999999830034</v>
      </c>
      <c r="I52">
        <f t="shared" si="11"/>
        <v>0.051129999999830034</v>
      </c>
      <c r="P52" s="30">
        <f t="shared" si="9"/>
        <v>0.05202062539376051</v>
      </c>
      <c r="Q52" s="2">
        <f t="shared" si="7"/>
        <v>36552.0265</v>
      </c>
      <c r="R52">
        <f t="shared" si="10"/>
        <v>7.932135923138183E-07</v>
      </c>
    </row>
    <row r="53" spans="1:18" ht="12.75">
      <c r="A53" s="10" t="s">
        <v>33</v>
      </c>
      <c r="B53" s="37"/>
      <c r="C53" s="38">
        <v>51839.4881</v>
      </c>
      <c r="D53" s="38">
        <v>0.001</v>
      </c>
      <c r="E53">
        <f aca="true" t="shared" si="12" ref="E53:E69">+(C53-C$7)/C$8</f>
        <v>17954.056484766694</v>
      </c>
      <c r="F53">
        <f aca="true" t="shared" si="13" ref="F53:F84">ROUND(2*E53,0)/2</f>
        <v>17954</v>
      </c>
      <c r="G53">
        <f t="shared" si="3"/>
        <v>0.05256799999915529</v>
      </c>
      <c r="I53">
        <f t="shared" si="11"/>
        <v>0.05256799999915529</v>
      </c>
      <c r="P53" s="30">
        <f t="shared" si="9"/>
        <v>0.053759982745430035</v>
      </c>
      <c r="Q53" s="2">
        <f aca="true" t="shared" si="14" ref="Q53:Q69">+C53-15018.5</f>
        <v>36820.9881</v>
      </c>
      <c r="R53">
        <f t="shared" si="10"/>
        <v>1.420822867416682E-06</v>
      </c>
    </row>
    <row r="54" spans="1:18" ht="12.75">
      <c r="A54" s="10" t="s">
        <v>33</v>
      </c>
      <c r="B54" s="37"/>
      <c r="C54" s="38">
        <v>51840.4204</v>
      </c>
      <c r="D54" s="38">
        <v>0.0004</v>
      </c>
      <c r="E54">
        <f t="shared" si="12"/>
        <v>17955.058249109774</v>
      </c>
      <c r="F54">
        <f t="shared" si="13"/>
        <v>17955</v>
      </c>
      <c r="G54">
        <f t="shared" si="3"/>
        <v>0.05421000000205822</v>
      </c>
      <c r="I54">
        <f t="shared" si="11"/>
        <v>0.05421000000205822</v>
      </c>
      <c r="P54" s="30">
        <f t="shared" si="9"/>
        <v>0.053764958939660046</v>
      </c>
      <c r="Q54" s="2">
        <f t="shared" si="14"/>
        <v>36821.9204</v>
      </c>
      <c r="R54">
        <f t="shared" si="10"/>
        <v>1.9806154722049815E-07</v>
      </c>
    </row>
    <row r="55" spans="1:18" ht="12.75">
      <c r="A55" s="39" t="s">
        <v>30</v>
      </c>
      <c r="B55" s="39"/>
      <c r="C55" s="40">
        <v>52656.6115</v>
      </c>
      <c r="D55" s="40">
        <v>0.0003</v>
      </c>
      <c r="E55">
        <f t="shared" si="12"/>
        <v>18832.062583677354</v>
      </c>
      <c r="F55">
        <f t="shared" si="13"/>
        <v>18832</v>
      </c>
      <c r="G55">
        <f t="shared" si="3"/>
        <v>0.05824399999983143</v>
      </c>
      <c r="I55">
        <f t="shared" si="11"/>
        <v>0.05824399999983143</v>
      </c>
      <c r="O55">
        <f aca="true" t="shared" si="15" ref="O55:O69">+C$11+C$12*F55</f>
        <v>0.03832719559954803</v>
      </c>
      <c r="P55" s="30">
        <f t="shared" si="9"/>
        <v>0.0553614584874349</v>
      </c>
      <c r="Q55" s="2">
        <f t="shared" si="14"/>
        <v>37638.1115</v>
      </c>
      <c r="R55">
        <f t="shared" si="10"/>
        <v>8.309045570689276E-06</v>
      </c>
    </row>
    <row r="56" spans="1:18" ht="12.75">
      <c r="A56" s="10" t="s">
        <v>30</v>
      </c>
      <c r="B56" s="37" t="s">
        <v>34</v>
      </c>
      <c r="C56" s="41">
        <v>52656.6115</v>
      </c>
      <c r="D56" s="38">
        <v>0.0003</v>
      </c>
      <c r="E56">
        <f t="shared" si="12"/>
        <v>18832.062583677354</v>
      </c>
      <c r="F56">
        <f t="shared" si="13"/>
        <v>18832</v>
      </c>
      <c r="G56">
        <f t="shared" si="3"/>
        <v>0.05824399999983143</v>
      </c>
      <c r="I56">
        <f t="shared" si="11"/>
        <v>0.05824399999983143</v>
      </c>
      <c r="O56">
        <f t="shared" si="15"/>
        <v>0.03832719559954803</v>
      </c>
      <c r="P56" s="30">
        <f t="shared" si="9"/>
        <v>0.0553614584874349</v>
      </c>
      <c r="Q56" s="2">
        <f t="shared" si="14"/>
        <v>37638.1115</v>
      </c>
      <c r="R56">
        <f t="shared" si="10"/>
        <v>8.309045570689276E-06</v>
      </c>
    </row>
    <row r="57" spans="1:18" ht="12.75">
      <c r="A57" s="10" t="s">
        <v>31</v>
      </c>
      <c r="B57" s="37"/>
      <c r="C57" s="38">
        <v>52685.458</v>
      </c>
      <c r="D57" s="38">
        <v>0.002</v>
      </c>
      <c r="E57">
        <f t="shared" si="12"/>
        <v>18863.058395242933</v>
      </c>
      <c r="F57">
        <f t="shared" si="13"/>
        <v>18863</v>
      </c>
      <c r="G57">
        <f t="shared" si="3"/>
        <v>0.05434600000444334</v>
      </c>
      <c r="I57">
        <f t="shared" si="11"/>
        <v>0.05434600000444334</v>
      </c>
      <c r="O57">
        <f t="shared" si="15"/>
        <v>0.038450935279501525</v>
      </c>
      <c r="P57" s="30">
        <f t="shared" si="9"/>
        <v>0.055316719197537</v>
      </c>
      <c r="Q57" s="2">
        <f t="shared" si="14"/>
        <v>37666.958</v>
      </c>
      <c r="R57">
        <f t="shared" si="10"/>
        <v>9.422957518404082E-07</v>
      </c>
    </row>
    <row r="58" spans="1:18" ht="12.75">
      <c r="A58" s="64" t="s">
        <v>191</v>
      </c>
      <c r="B58" s="65" t="s">
        <v>34</v>
      </c>
      <c r="C58" s="64">
        <v>53637.5139</v>
      </c>
      <c r="E58">
        <f t="shared" si="12"/>
        <v>19886.050622247913</v>
      </c>
      <c r="F58">
        <f t="shared" si="13"/>
        <v>19886</v>
      </c>
      <c r="G58">
        <f t="shared" si="3"/>
        <v>0.04711200000019744</v>
      </c>
      <c r="K58">
        <f>+G58</f>
        <v>0.04711200000019744</v>
      </c>
      <c r="O58">
        <f t="shared" si="15"/>
        <v>0.042534344717966854</v>
      </c>
      <c r="P58" s="30">
        <f t="shared" si="9"/>
        <v>0.049964811096613326</v>
      </c>
      <c r="Q58" s="2">
        <f t="shared" si="14"/>
        <v>38619.0139</v>
      </c>
      <c r="R58">
        <f t="shared" si="10"/>
        <v>8.138531151833608E-06</v>
      </c>
    </row>
    <row r="59" spans="1:18" ht="12.75">
      <c r="A59" s="42" t="s">
        <v>45</v>
      </c>
      <c r="B59" s="43" t="s">
        <v>34</v>
      </c>
      <c r="C59" s="40">
        <v>53637.51399</v>
      </c>
      <c r="D59" s="40">
        <v>0.0002</v>
      </c>
      <c r="E59">
        <f t="shared" si="12"/>
        <v>19886.050718953687</v>
      </c>
      <c r="F59">
        <f t="shared" si="13"/>
        <v>19886</v>
      </c>
      <c r="G59">
        <f t="shared" si="3"/>
        <v>0.04720200000156183</v>
      </c>
      <c r="I59">
        <f>+G59</f>
        <v>0.04720200000156183</v>
      </c>
      <c r="O59">
        <f t="shared" si="15"/>
        <v>0.042534344717966854</v>
      </c>
      <c r="P59" s="30">
        <f t="shared" si="9"/>
        <v>0.049964811096613326</v>
      </c>
      <c r="Q59" s="2">
        <f t="shared" si="14"/>
        <v>38619.01399</v>
      </c>
      <c r="R59">
        <f t="shared" si="10"/>
        <v>7.633125146939659E-06</v>
      </c>
    </row>
    <row r="60" spans="1:18" ht="12.75">
      <c r="A60" s="64" t="s">
        <v>197</v>
      </c>
      <c r="B60" s="65" t="s">
        <v>34</v>
      </c>
      <c r="C60" s="64">
        <v>53705.4514</v>
      </c>
      <c r="E60">
        <f t="shared" si="12"/>
        <v>19959.050048460336</v>
      </c>
      <c r="F60">
        <f t="shared" si="13"/>
        <v>19959</v>
      </c>
      <c r="G60">
        <f t="shared" si="3"/>
        <v>0.04657800000131829</v>
      </c>
      <c r="K60">
        <f>+G60</f>
        <v>0.04657800000131829</v>
      </c>
      <c r="O60">
        <f t="shared" si="15"/>
        <v>0.04282573170624443</v>
      </c>
      <c r="P60" s="30">
        <f t="shared" si="9"/>
        <v>0.04929533389211138</v>
      </c>
      <c r="Q60" s="2">
        <f t="shared" si="14"/>
        <v>38686.9514</v>
      </c>
      <c r="R60">
        <f t="shared" si="10"/>
        <v>7.3839034740527365E-06</v>
      </c>
    </row>
    <row r="61" spans="1:18" ht="12.75">
      <c r="A61" s="40" t="s">
        <v>42</v>
      </c>
      <c r="B61" s="44"/>
      <c r="C61" s="40">
        <v>54026.528</v>
      </c>
      <c r="D61" s="40">
        <v>0.002</v>
      </c>
      <c r="E61">
        <f t="shared" si="12"/>
        <v>20304.04960791182</v>
      </c>
      <c r="F61">
        <f t="shared" si="13"/>
        <v>20304</v>
      </c>
      <c r="G61">
        <f t="shared" si="3"/>
        <v>0.04616800000076182</v>
      </c>
      <c r="I61">
        <f>+G61</f>
        <v>0.04616800000076182</v>
      </c>
      <c r="O61">
        <f t="shared" si="15"/>
        <v>0.044202834596049456</v>
      </c>
      <c r="P61" s="30">
        <f t="shared" si="9"/>
        <v>0.04561303410927775</v>
      </c>
      <c r="Q61" s="2">
        <f t="shared" si="14"/>
        <v>39008.028</v>
      </c>
      <c r="R61">
        <f t="shared" si="10"/>
        <v>3.0798714071071035E-07</v>
      </c>
    </row>
    <row r="62" spans="1:18" ht="12.75">
      <c r="A62" s="64" t="s">
        <v>191</v>
      </c>
      <c r="B62" s="65" t="s">
        <v>34</v>
      </c>
      <c r="C62" s="64">
        <v>54135.4136</v>
      </c>
      <c r="E62">
        <f t="shared" si="12"/>
        <v>20421.04811864294</v>
      </c>
      <c r="F62">
        <f t="shared" si="13"/>
        <v>20421</v>
      </c>
      <c r="G62">
        <f t="shared" si="3"/>
        <v>0.04478199999721255</v>
      </c>
      <c r="K62">
        <f>+G62</f>
        <v>0.04478199999721255</v>
      </c>
      <c r="O62">
        <f t="shared" si="15"/>
        <v>0.04466985209780942</v>
      </c>
      <c r="P62" s="30">
        <f t="shared" si="9"/>
        <v>0.04416996857684219</v>
      </c>
      <c r="Q62" s="2">
        <f t="shared" si="14"/>
        <v>39116.9136</v>
      </c>
      <c r="R62">
        <f t="shared" si="10"/>
        <v>3.745824595205634E-07</v>
      </c>
    </row>
    <row r="63" spans="1:18" ht="12.75">
      <c r="A63" s="42" t="s">
        <v>45</v>
      </c>
      <c r="B63" s="43" t="s">
        <v>34</v>
      </c>
      <c r="C63" s="40">
        <v>54135.41361</v>
      </c>
      <c r="D63" s="40">
        <v>0.0003</v>
      </c>
      <c r="E63">
        <f t="shared" si="12"/>
        <v>20421.04812938803</v>
      </c>
      <c r="F63">
        <f t="shared" si="13"/>
        <v>20421</v>
      </c>
      <c r="G63">
        <f t="shared" si="3"/>
        <v>0.04479200000059791</v>
      </c>
      <c r="I63">
        <f>+G63</f>
        <v>0.04479200000059791</v>
      </c>
      <c r="O63">
        <f t="shared" si="15"/>
        <v>0.04466985209780942</v>
      </c>
      <c r="P63" s="30">
        <f t="shared" si="9"/>
        <v>0.04416996857684219</v>
      </c>
      <c r="Q63" s="2">
        <f t="shared" si="14"/>
        <v>39116.91361</v>
      </c>
      <c r="R63">
        <f t="shared" si="10"/>
        <v>3.869230921395682E-07</v>
      </c>
    </row>
    <row r="64" spans="1:18" ht="12.75">
      <c r="A64" s="10" t="s">
        <v>48</v>
      </c>
      <c r="B64" s="35" t="s">
        <v>34</v>
      </c>
      <c r="C64" s="10">
        <v>54847.3682</v>
      </c>
      <c r="D64" s="10">
        <v>0.0005</v>
      </c>
      <c r="E64">
        <f t="shared" si="12"/>
        <v>21186.049440288483</v>
      </c>
      <c r="F64">
        <f t="shared" si="13"/>
        <v>21186</v>
      </c>
      <c r="G64">
        <f t="shared" si="3"/>
        <v>0.04601199999888195</v>
      </c>
      <c r="I64">
        <f>+G64</f>
        <v>0.04601199999888195</v>
      </c>
      <c r="O64">
        <f t="shared" si="15"/>
        <v>0.047723428070855334</v>
      </c>
      <c r="P64" s="30">
        <f t="shared" si="9"/>
        <v>0.032309366620999924</v>
      </c>
      <c r="Q64" s="2">
        <f t="shared" si="14"/>
        <v>39828.8682</v>
      </c>
      <c r="R64">
        <f t="shared" si="10"/>
        <v>0.0001877621614886465</v>
      </c>
    </row>
    <row r="65" spans="1:18" ht="12.75">
      <c r="A65" s="10" t="s">
        <v>47</v>
      </c>
      <c r="B65" s="35" t="s">
        <v>34</v>
      </c>
      <c r="C65" s="10">
        <v>55245.6911</v>
      </c>
      <c r="D65" s="10">
        <v>0.0003</v>
      </c>
      <c r="E65">
        <f t="shared" si="12"/>
        <v>21614.05081136142</v>
      </c>
      <c r="F65">
        <f t="shared" si="13"/>
        <v>21614</v>
      </c>
      <c r="G65">
        <f t="shared" si="3"/>
        <v>0.04728800000157207</v>
      </c>
      <c r="I65">
        <f>+G65</f>
        <v>0.04728800000157207</v>
      </c>
      <c r="O65">
        <f t="shared" si="15"/>
        <v>0.04943183397472939</v>
      </c>
      <c r="P65" s="30">
        <f t="shared" si="9"/>
        <v>0.02383837367165187</v>
      </c>
      <c r="Q65" s="2">
        <f t="shared" si="14"/>
        <v>40227.1911</v>
      </c>
      <c r="R65">
        <f t="shared" si="10"/>
        <v>0.0005498849750128869</v>
      </c>
    </row>
    <row r="66" spans="1:18" ht="12.75">
      <c r="A66" s="45" t="s">
        <v>49</v>
      </c>
      <c r="B66" s="46" t="s">
        <v>34</v>
      </c>
      <c r="C66" s="45">
        <v>55957.6504</v>
      </c>
      <c r="D66" s="45">
        <v>0.0004</v>
      </c>
      <c r="E66">
        <f t="shared" si="12"/>
        <v>22379.057183197263</v>
      </c>
      <c r="F66">
        <f t="shared" si="13"/>
        <v>22379</v>
      </c>
      <c r="G66">
        <f t="shared" si="3"/>
        <v>0.0532180000009248</v>
      </c>
      <c r="I66">
        <f>+G66</f>
        <v>0.0532180000009248</v>
      </c>
      <c r="O66">
        <f t="shared" si="15"/>
        <v>0.0524854099477753</v>
      </c>
      <c r="P66" s="30">
        <f t="shared" si="9"/>
        <v>0.005417155037534593</v>
      </c>
      <c r="Q66" s="2">
        <f t="shared" si="14"/>
        <v>40939.1504</v>
      </c>
      <c r="R66">
        <f t="shared" si="10"/>
        <v>0.002284920779214067</v>
      </c>
    </row>
    <row r="67" spans="1:18" ht="12.75">
      <c r="A67" s="47" t="s">
        <v>50</v>
      </c>
      <c r="B67" s="48" t="s">
        <v>34</v>
      </c>
      <c r="C67" s="47">
        <v>56727.3077</v>
      </c>
      <c r="D67" s="47">
        <v>0.0015</v>
      </c>
      <c r="E67">
        <f t="shared" si="12"/>
        <v>23206.06055070713</v>
      </c>
      <c r="F67">
        <f t="shared" si="13"/>
        <v>23206</v>
      </c>
      <c r="G67">
        <f t="shared" si="3"/>
        <v>0.05635199999960605</v>
      </c>
      <c r="I67">
        <f>+G67</f>
        <v>0.05635199999960605</v>
      </c>
      <c r="O67">
        <f t="shared" si="15"/>
        <v>0.05578646528072821</v>
      </c>
      <c r="P67" s="30">
        <f t="shared" si="9"/>
        <v>-0.01922920626636726</v>
      </c>
      <c r="Q67" s="2">
        <f t="shared" si="14"/>
        <v>41708.8077</v>
      </c>
      <c r="R67">
        <f t="shared" si="10"/>
        <v>0.005712518740619604</v>
      </c>
    </row>
    <row r="68" spans="1:21" ht="12.75">
      <c r="A68" s="47" t="s">
        <v>51</v>
      </c>
      <c r="B68" s="49"/>
      <c r="C68" s="47">
        <v>56932.584</v>
      </c>
      <c r="D68" s="47">
        <v>0.0002</v>
      </c>
      <c r="E68">
        <f t="shared" si="12"/>
        <v>23426.6316949943</v>
      </c>
      <c r="F68">
        <f t="shared" si="13"/>
        <v>23426.5</v>
      </c>
      <c r="O68">
        <f t="shared" si="15"/>
        <v>0.05666661364942968</v>
      </c>
      <c r="P68" s="30">
        <f t="shared" si="9"/>
        <v>-0.026630761894250954</v>
      </c>
      <c r="Q68" s="2">
        <f t="shared" si="14"/>
        <v>41914.084</v>
      </c>
      <c r="R68">
        <f>+(P68-U68)^2</f>
        <v>0.022258778589485537</v>
      </c>
      <c r="U68">
        <f>+C68-(C$7+F68*C$8)</f>
        <v>0.12256300000444753</v>
      </c>
    </row>
    <row r="69" spans="1:18" ht="12.75">
      <c r="A69" s="47" t="s">
        <v>51</v>
      </c>
      <c r="B69" s="49"/>
      <c r="C69" s="47">
        <v>56964.6263</v>
      </c>
      <c r="D69" s="47">
        <v>0.0059</v>
      </c>
      <c r="E69">
        <f t="shared" si="12"/>
        <v>23461.061421059083</v>
      </c>
      <c r="F69">
        <f t="shared" si="13"/>
        <v>23461</v>
      </c>
      <c r="G69">
        <f>+C69-(C$7+F69*C$8)</f>
        <v>0.05716200000460958</v>
      </c>
      <c r="K69">
        <f>+G69</f>
        <v>0.05716200000460958</v>
      </c>
      <c r="O69">
        <f t="shared" si="15"/>
        <v>0.05680432393841017</v>
      </c>
      <c r="P69" s="30">
        <f t="shared" si="9"/>
        <v>-0.027820449163644234</v>
      </c>
      <c r="Q69" s="2">
        <f t="shared" si="14"/>
        <v>41946.1263</v>
      </c>
      <c r="R69">
        <f>+(P69-G69)^2</f>
        <v>0.007222016666634843</v>
      </c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9"/>
  <sheetViews>
    <sheetView zoomScalePageLayoutView="0" workbookViewId="0" topLeftCell="A7">
      <selection activeCell="A23" sqref="A23:C54"/>
    </sheetView>
  </sheetViews>
  <sheetFormatPr defaultColWidth="9.140625" defaultRowHeight="12.75"/>
  <cols>
    <col min="1" max="1" width="19.7109375" style="24" customWidth="1"/>
    <col min="2" max="2" width="4.421875" style="13" customWidth="1"/>
    <col min="3" max="3" width="12.7109375" style="24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24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51" t="s">
        <v>53</v>
      </c>
      <c r="I1" s="52" t="s">
        <v>54</v>
      </c>
      <c r="J1" s="53" t="s">
        <v>55</v>
      </c>
    </row>
    <row r="2" spans="9:10" ht="12.75">
      <c r="I2" s="54" t="s">
        <v>56</v>
      </c>
      <c r="J2" s="55" t="s">
        <v>57</v>
      </c>
    </row>
    <row r="3" spans="1:10" ht="12.75">
      <c r="A3" s="56" t="s">
        <v>58</v>
      </c>
      <c r="I3" s="54" t="s">
        <v>59</v>
      </c>
      <c r="J3" s="55" t="s">
        <v>60</v>
      </c>
    </row>
    <row r="4" spans="9:10" ht="12.75">
      <c r="I4" s="54" t="s">
        <v>61</v>
      </c>
      <c r="J4" s="55" t="s">
        <v>60</v>
      </c>
    </row>
    <row r="5" spans="9:10" ht="13.5" thickBot="1">
      <c r="I5" s="57" t="s">
        <v>62</v>
      </c>
      <c r="J5" s="58" t="s">
        <v>63</v>
      </c>
    </row>
    <row r="10" ht="13.5" thickBot="1"/>
    <row r="11" spans="1:16" ht="12.75" customHeight="1" thickBot="1">
      <c r="A11" s="24" t="str">
        <f aca="true" t="shared" si="0" ref="A11:A54">P11</f>
        <v>BAVM 152 </v>
      </c>
      <c r="B11" s="5" t="str">
        <f aca="true" t="shared" si="1" ref="B11:B54">IF(H11=INT(H11),"I","II")</f>
        <v>I</v>
      </c>
      <c r="C11" s="24">
        <f aca="true" t="shared" si="2" ref="C11:C54">1*G11</f>
        <v>51570.5265</v>
      </c>
      <c r="D11" s="13" t="str">
        <f aca="true" t="shared" si="3" ref="D11:D54">VLOOKUP(F11,I$1:J$5,2,FALSE)</f>
        <v>vis</v>
      </c>
      <c r="E11" s="59">
        <f>VLOOKUP(C11,A!C$21:E$973,3,FALSE)</f>
        <v>17665.054939623365</v>
      </c>
      <c r="F11" s="5" t="s">
        <v>62</v>
      </c>
      <c r="G11" s="13" t="str">
        <f aca="true" t="shared" si="4" ref="G11:G54">MID(I11,3,LEN(I11)-3)</f>
        <v>51570.5265</v>
      </c>
      <c r="H11" s="24">
        <f aca="true" t="shared" si="5" ref="H11:H54">1*K11</f>
        <v>17665</v>
      </c>
      <c r="I11" s="60" t="s">
        <v>157</v>
      </c>
      <c r="J11" s="61" t="s">
        <v>158</v>
      </c>
      <c r="K11" s="60">
        <v>17665</v>
      </c>
      <c r="L11" s="60" t="s">
        <v>159</v>
      </c>
      <c r="M11" s="61" t="s">
        <v>160</v>
      </c>
      <c r="N11" s="61" t="s">
        <v>161</v>
      </c>
      <c r="O11" s="62" t="s">
        <v>162</v>
      </c>
      <c r="P11" s="63" t="s">
        <v>163</v>
      </c>
    </row>
    <row r="12" spans="1:16" ht="12.75" customHeight="1" thickBot="1">
      <c r="A12" s="24" t="str">
        <f t="shared" si="0"/>
        <v>BAVM 152 </v>
      </c>
      <c r="B12" s="5" t="str">
        <f t="shared" si="1"/>
        <v>I</v>
      </c>
      <c r="C12" s="24">
        <f t="shared" si="2"/>
        <v>51839.4881</v>
      </c>
      <c r="D12" s="13" t="str">
        <f t="shared" si="3"/>
        <v>vis</v>
      </c>
      <c r="E12" s="59">
        <f>VLOOKUP(C12,A!C$21:E$973,3,FALSE)</f>
        <v>17954.056484766694</v>
      </c>
      <c r="F12" s="5" t="s">
        <v>62</v>
      </c>
      <c r="G12" s="13" t="str">
        <f t="shared" si="4"/>
        <v>51839.4881</v>
      </c>
      <c r="H12" s="24">
        <f t="shared" si="5"/>
        <v>17954</v>
      </c>
      <c r="I12" s="60" t="s">
        <v>164</v>
      </c>
      <c r="J12" s="61" t="s">
        <v>165</v>
      </c>
      <c r="K12" s="60" t="s">
        <v>166</v>
      </c>
      <c r="L12" s="60" t="s">
        <v>167</v>
      </c>
      <c r="M12" s="61" t="s">
        <v>160</v>
      </c>
      <c r="N12" s="61" t="s">
        <v>62</v>
      </c>
      <c r="O12" s="62" t="s">
        <v>162</v>
      </c>
      <c r="P12" s="63" t="s">
        <v>163</v>
      </c>
    </row>
    <row r="13" spans="1:16" ht="12.75" customHeight="1" thickBot="1">
      <c r="A13" s="24" t="str">
        <f t="shared" si="0"/>
        <v>BAVM 152 </v>
      </c>
      <c r="B13" s="5" t="str">
        <f t="shared" si="1"/>
        <v>I</v>
      </c>
      <c r="C13" s="24">
        <f t="shared" si="2"/>
        <v>51840.4204</v>
      </c>
      <c r="D13" s="13" t="str">
        <f t="shared" si="3"/>
        <v>vis</v>
      </c>
      <c r="E13" s="59">
        <f>VLOOKUP(C13,A!C$21:E$973,3,FALSE)</f>
        <v>17955.058249109774</v>
      </c>
      <c r="F13" s="5" t="s">
        <v>62</v>
      </c>
      <c r="G13" s="13" t="str">
        <f t="shared" si="4"/>
        <v>51840.4204</v>
      </c>
      <c r="H13" s="24">
        <f t="shared" si="5"/>
        <v>17955</v>
      </c>
      <c r="I13" s="60" t="s">
        <v>168</v>
      </c>
      <c r="J13" s="61" t="s">
        <v>169</v>
      </c>
      <c r="K13" s="60" t="s">
        <v>170</v>
      </c>
      <c r="L13" s="60" t="s">
        <v>171</v>
      </c>
      <c r="M13" s="61" t="s">
        <v>160</v>
      </c>
      <c r="N13" s="61" t="s">
        <v>62</v>
      </c>
      <c r="O13" s="62" t="s">
        <v>162</v>
      </c>
      <c r="P13" s="63" t="s">
        <v>163</v>
      </c>
    </row>
    <row r="14" spans="1:16" ht="12.75" customHeight="1" thickBot="1">
      <c r="A14" s="24" t="str">
        <f t="shared" si="0"/>
        <v>IBVS 5502 </v>
      </c>
      <c r="B14" s="5" t="str">
        <f t="shared" si="1"/>
        <v>I</v>
      </c>
      <c r="C14" s="24">
        <f t="shared" si="2"/>
        <v>52656.6115</v>
      </c>
      <c r="D14" s="13" t="str">
        <f t="shared" si="3"/>
        <v>vis</v>
      </c>
      <c r="E14" s="59">
        <f>VLOOKUP(C14,A!C$21:E$973,3,FALSE)</f>
        <v>18832.062583677354</v>
      </c>
      <c r="F14" s="5" t="s">
        <v>62</v>
      </c>
      <c r="G14" s="13" t="str">
        <f t="shared" si="4"/>
        <v>52656.6115</v>
      </c>
      <c r="H14" s="24">
        <f t="shared" si="5"/>
        <v>18832</v>
      </c>
      <c r="I14" s="60" t="s">
        <v>172</v>
      </c>
      <c r="J14" s="61" t="s">
        <v>173</v>
      </c>
      <c r="K14" s="60" t="s">
        <v>174</v>
      </c>
      <c r="L14" s="60" t="s">
        <v>175</v>
      </c>
      <c r="M14" s="61" t="s">
        <v>160</v>
      </c>
      <c r="N14" s="61" t="s">
        <v>176</v>
      </c>
      <c r="O14" s="62" t="s">
        <v>177</v>
      </c>
      <c r="P14" s="63" t="s">
        <v>178</v>
      </c>
    </row>
    <row r="15" spans="1:16" ht="12.75" customHeight="1" thickBot="1">
      <c r="A15" s="24" t="str">
        <f t="shared" si="0"/>
        <v>BAVM 158 </v>
      </c>
      <c r="B15" s="5" t="str">
        <f t="shared" si="1"/>
        <v>I</v>
      </c>
      <c r="C15" s="24">
        <f t="shared" si="2"/>
        <v>52685.458</v>
      </c>
      <c r="D15" s="13" t="str">
        <f t="shared" si="3"/>
        <v>vis</v>
      </c>
      <c r="E15" s="59">
        <f>VLOOKUP(C15,A!C$21:E$973,3,FALSE)</f>
        <v>18863.058395242933</v>
      </c>
      <c r="F15" s="5" t="s">
        <v>62</v>
      </c>
      <c r="G15" s="13" t="str">
        <f t="shared" si="4"/>
        <v>52685.458</v>
      </c>
      <c r="H15" s="24">
        <f t="shared" si="5"/>
        <v>18863</v>
      </c>
      <c r="I15" s="60" t="s">
        <v>179</v>
      </c>
      <c r="J15" s="61" t="s">
        <v>180</v>
      </c>
      <c r="K15" s="60" t="s">
        <v>181</v>
      </c>
      <c r="L15" s="60" t="s">
        <v>182</v>
      </c>
      <c r="M15" s="61" t="s">
        <v>160</v>
      </c>
      <c r="N15" s="61" t="s">
        <v>62</v>
      </c>
      <c r="O15" s="62" t="s">
        <v>162</v>
      </c>
      <c r="P15" s="63" t="s">
        <v>183</v>
      </c>
    </row>
    <row r="16" spans="1:16" ht="12.75" customHeight="1" thickBot="1">
      <c r="A16" s="24" t="str">
        <f t="shared" si="0"/>
        <v>BAVM 186 </v>
      </c>
      <c r="B16" s="5" t="str">
        <f t="shared" si="1"/>
        <v>I</v>
      </c>
      <c r="C16" s="24">
        <f t="shared" si="2"/>
        <v>54026.528</v>
      </c>
      <c r="D16" s="13" t="str">
        <f t="shared" si="3"/>
        <v>vis</v>
      </c>
      <c r="E16" s="59">
        <f>VLOOKUP(C16,A!C$21:E$973,3,FALSE)</f>
        <v>20304.04960791182</v>
      </c>
      <c r="F16" s="5" t="s">
        <v>62</v>
      </c>
      <c r="G16" s="13" t="str">
        <f t="shared" si="4"/>
        <v>54026.528</v>
      </c>
      <c r="H16" s="24">
        <f t="shared" si="5"/>
        <v>20304</v>
      </c>
      <c r="I16" s="60" t="s">
        <v>198</v>
      </c>
      <c r="J16" s="61" t="s">
        <v>199</v>
      </c>
      <c r="K16" s="60" t="s">
        <v>200</v>
      </c>
      <c r="L16" s="60" t="s">
        <v>201</v>
      </c>
      <c r="M16" s="61" t="s">
        <v>188</v>
      </c>
      <c r="N16" s="61" t="s">
        <v>202</v>
      </c>
      <c r="O16" s="62" t="s">
        <v>203</v>
      </c>
      <c r="P16" s="63" t="s">
        <v>204</v>
      </c>
    </row>
    <row r="17" spans="1:16" ht="12.75" customHeight="1" thickBot="1">
      <c r="A17" s="24" t="str">
        <f t="shared" si="0"/>
        <v>BAVM 209 </v>
      </c>
      <c r="B17" s="5" t="str">
        <f t="shared" si="1"/>
        <v>I</v>
      </c>
      <c r="C17" s="24">
        <f t="shared" si="2"/>
        <v>54847.3682</v>
      </c>
      <c r="D17" s="13" t="str">
        <f t="shared" si="3"/>
        <v>vis</v>
      </c>
      <c r="E17" s="59">
        <f>VLOOKUP(C17,A!C$21:E$973,3,FALSE)</f>
        <v>21186.049440288483</v>
      </c>
      <c r="F17" s="5" t="s">
        <v>62</v>
      </c>
      <c r="G17" s="13" t="str">
        <f t="shared" si="4"/>
        <v>54847.3682</v>
      </c>
      <c r="H17" s="24">
        <f t="shared" si="5"/>
        <v>21186</v>
      </c>
      <c r="I17" s="60" t="s">
        <v>209</v>
      </c>
      <c r="J17" s="61" t="s">
        <v>210</v>
      </c>
      <c r="K17" s="60" t="s">
        <v>211</v>
      </c>
      <c r="L17" s="60" t="s">
        <v>212</v>
      </c>
      <c r="M17" s="61" t="s">
        <v>188</v>
      </c>
      <c r="N17" s="61" t="s">
        <v>202</v>
      </c>
      <c r="O17" s="62" t="s">
        <v>213</v>
      </c>
      <c r="P17" s="63" t="s">
        <v>214</v>
      </c>
    </row>
    <row r="18" spans="1:16" ht="12.75" customHeight="1" thickBot="1">
      <c r="A18" s="24" t="str">
        <f t="shared" si="0"/>
        <v>IBVS 5945 </v>
      </c>
      <c r="B18" s="5" t="str">
        <f t="shared" si="1"/>
        <v>I</v>
      </c>
      <c r="C18" s="24">
        <f t="shared" si="2"/>
        <v>55245.6911</v>
      </c>
      <c r="D18" s="13" t="str">
        <f t="shared" si="3"/>
        <v>vis</v>
      </c>
      <c r="E18" s="59">
        <f>VLOOKUP(C18,A!C$21:E$973,3,FALSE)</f>
        <v>21614.05081136142</v>
      </c>
      <c r="F18" s="5" t="s">
        <v>62</v>
      </c>
      <c r="G18" s="13" t="str">
        <f t="shared" si="4"/>
        <v>55245.6911</v>
      </c>
      <c r="H18" s="24">
        <f t="shared" si="5"/>
        <v>21614</v>
      </c>
      <c r="I18" s="60" t="s">
        <v>215</v>
      </c>
      <c r="J18" s="61" t="s">
        <v>216</v>
      </c>
      <c r="K18" s="60" t="s">
        <v>217</v>
      </c>
      <c r="L18" s="60" t="s">
        <v>218</v>
      </c>
      <c r="M18" s="61" t="s">
        <v>188</v>
      </c>
      <c r="N18" s="61" t="s">
        <v>62</v>
      </c>
      <c r="O18" s="62" t="s">
        <v>219</v>
      </c>
      <c r="P18" s="63" t="s">
        <v>220</v>
      </c>
    </row>
    <row r="19" spans="1:16" ht="12.75" customHeight="1" thickBot="1">
      <c r="A19" s="24" t="str">
        <f t="shared" si="0"/>
        <v>IBVS 6029 </v>
      </c>
      <c r="B19" s="5" t="str">
        <f t="shared" si="1"/>
        <v>I</v>
      </c>
      <c r="C19" s="24">
        <f t="shared" si="2"/>
        <v>55957.6504</v>
      </c>
      <c r="D19" s="13" t="str">
        <f t="shared" si="3"/>
        <v>vis</v>
      </c>
      <c r="E19" s="59">
        <f>VLOOKUP(C19,A!C$21:E$973,3,FALSE)</f>
        <v>22379.057183197263</v>
      </c>
      <c r="F19" s="5" t="s">
        <v>62</v>
      </c>
      <c r="G19" s="13" t="str">
        <f t="shared" si="4"/>
        <v>55957.6504</v>
      </c>
      <c r="H19" s="24">
        <f t="shared" si="5"/>
        <v>22379</v>
      </c>
      <c r="I19" s="60" t="s">
        <v>221</v>
      </c>
      <c r="J19" s="61" t="s">
        <v>222</v>
      </c>
      <c r="K19" s="60" t="s">
        <v>223</v>
      </c>
      <c r="L19" s="60" t="s">
        <v>224</v>
      </c>
      <c r="M19" s="61" t="s">
        <v>188</v>
      </c>
      <c r="N19" s="61" t="s">
        <v>62</v>
      </c>
      <c r="O19" s="62" t="s">
        <v>219</v>
      </c>
      <c r="P19" s="63" t="s">
        <v>225</v>
      </c>
    </row>
    <row r="20" spans="1:16" ht="12.75" customHeight="1" thickBot="1">
      <c r="A20" s="24" t="str">
        <f t="shared" si="0"/>
        <v>BAVM 238 </v>
      </c>
      <c r="B20" s="5" t="str">
        <f t="shared" si="1"/>
        <v>I</v>
      </c>
      <c r="C20" s="24">
        <f t="shared" si="2"/>
        <v>56727.3077</v>
      </c>
      <c r="D20" s="13" t="str">
        <f t="shared" si="3"/>
        <v>vis</v>
      </c>
      <c r="E20" s="59">
        <f>VLOOKUP(C20,A!C$21:E$973,3,FALSE)</f>
        <v>23206.06055070713</v>
      </c>
      <c r="F20" s="5" t="s">
        <v>62</v>
      </c>
      <c r="G20" s="13" t="str">
        <f t="shared" si="4"/>
        <v>56727.3077</v>
      </c>
      <c r="H20" s="24">
        <f t="shared" si="5"/>
        <v>23206</v>
      </c>
      <c r="I20" s="60" t="s">
        <v>226</v>
      </c>
      <c r="J20" s="61" t="s">
        <v>227</v>
      </c>
      <c r="K20" s="60" t="s">
        <v>228</v>
      </c>
      <c r="L20" s="60" t="s">
        <v>229</v>
      </c>
      <c r="M20" s="61" t="s">
        <v>188</v>
      </c>
      <c r="N20" s="61" t="s">
        <v>202</v>
      </c>
      <c r="O20" s="62" t="s">
        <v>230</v>
      </c>
      <c r="P20" s="63" t="s">
        <v>231</v>
      </c>
    </row>
    <row r="21" spans="1:16" ht="12.75" customHeight="1" thickBot="1">
      <c r="A21" s="24" t="str">
        <f t="shared" si="0"/>
        <v>BAVM 239 </v>
      </c>
      <c r="B21" s="5" t="str">
        <f t="shared" si="1"/>
        <v>II</v>
      </c>
      <c r="C21" s="24">
        <f t="shared" si="2"/>
        <v>56932.584</v>
      </c>
      <c r="D21" s="13" t="str">
        <f t="shared" si="3"/>
        <v>vis</v>
      </c>
      <c r="E21" s="59">
        <f>VLOOKUP(C21,A!C$21:E$973,3,FALSE)</f>
        <v>23426.6316949943</v>
      </c>
      <c r="F21" s="5" t="s">
        <v>62</v>
      </c>
      <c r="G21" s="13" t="str">
        <f t="shared" si="4"/>
        <v>56932.5840</v>
      </c>
      <c r="H21" s="24">
        <f t="shared" si="5"/>
        <v>23426.5</v>
      </c>
      <c r="I21" s="60" t="s">
        <v>232</v>
      </c>
      <c r="J21" s="61" t="s">
        <v>233</v>
      </c>
      <c r="K21" s="60" t="s">
        <v>234</v>
      </c>
      <c r="L21" s="60" t="s">
        <v>235</v>
      </c>
      <c r="M21" s="61" t="s">
        <v>188</v>
      </c>
      <c r="N21" s="61" t="s">
        <v>202</v>
      </c>
      <c r="O21" s="62" t="s">
        <v>230</v>
      </c>
      <c r="P21" s="63" t="s">
        <v>236</v>
      </c>
    </row>
    <row r="22" spans="1:16" ht="12.75" customHeight="1" thickBot="1">
      <c r="A22" s="24" t="str">
        <f t="shared" si="0"/>
        <v>BAVM 239 </v>
      </c>
      <c r="B22" s="5" t="str">
        <f t="shared" si="1"/>
        <v>I</v>
      </c>
      <c r="C22" s="24">
        <f t="shared" si="2"/>
        <v>56964.6263</v>
      </c>
      <c r="D22" s="13" t="str">
        <f t="shared" si="3"/>
        <v>vis</v>
      </c>
      <c r="E22" s="59">
        <f>VLOOKUP(C22,A!C$21:E$973,3,FALSE)</f>
        <v>23461.061421059083</v>
      </c>
      <c r="F22" s="5" t="s">
        <v>62</v>
      </c>
      <c r="G22" s="13" t="str">
        <f t="shared" si="4"/>
        <v>56964.6263</v>
      </c>
      <c r="H22" s="24">
        <f t="shared" si="5"/>
        <v>23461</v>
      </c>
      <c r="I22" s="60" t="s">
        <v>237</v>
      </c>
      <c r="J22" s="61" t="s">
        <v>238</v>
      </c>
      <c r="K22" s="60" t="s">
        <v>239</v>
      </c>
      <c r="L22" s="60" t="s">
        <v>240</v>
      </c>
      <c r="M22" s="61" t="s">
        <v>188</v>
      </c>
      <c r="N22" s="61" t="s">
        <v>161</v>
      </c>
      <c r="O22" s="62" t="s">
        <v>241</v>
      </c>
      <c r="P22" s="63" t="s">
        <v>236</v>
      </c>
    </row>
    <row r="23" spans="1:16" ht="12.75" customHeight="1" thickBot="1">
      <c r="A23" s="24" t="str">
        <f t="shared" si="0"/>
        <v> AA 6.109 </v>
      </c>
      <c r="B23" s="5" t="str">
        <f t="shared" si="1"/>
        <v>I</v>
      </c>
      <c r="C23" s="24">
        <f t="shared" si="2"/>
        <v>27452.465</v>
      </c>
      <c r="D23" s="13" t="str">
        <f t="shared" si="3"/>
        <v>vis</v>
      </c>
      <c r="E23" s="59">
        <f>VLOOKUP(C23,A!C$21:E$973,3,FALSE)</f>
        <v>-8250.00891842116</v>
      </c>
      <c r="F23" s="5" t="s">
        <v>62</v>
      </c>
      <c r="G23" s="13" t="str">
        <f t="shared" si="4"/>
        <v>27452.465</v>
      </c>
      <c r="H23" s="24">
        <f t="shared" si="5"/>
        <v>-8250</v>
      </c>
      <c r="I23" s="60" t="s">
        <v>64</v>
      </c>
      <c r="J23" s="61" t="s">
        <v>65</v>
      </c>
      <c r="K23" s="60">
        <v>-8250</v>
      </c>
      <c r="L23" s="60" t="s">
        <v>66</v>
      </c>
      <c r="M23" s="61" t="s">
        <v>67</v>
      </c>
      <c r="N23" s="61"/>
      <c r="O23" s="62" t="s">
        <v>68</v>
      </c>
      <c r="P23" s="62" t="s">
        <v>69</v>
      </c>
    </row>
    <row r="24" spans="1:16" ht="12.75" customHeight="1" thickBot="1">
      <c r="A24" s="24" t="str">
        <f t="shared" si="0"/>
        <v> AA 6.109 </v>
      </c>
      <c r="B24" s="5" t="str">
        <f t="shared" si="1"/>
        <v>I</v>
      </c>
      <c r="C24" s="24">
        <f t="shared" si="2"/>
        <v>27453.383</v>
      </c>
      <c r="D24" s="13" t="str">
        <f t="shared" si="3"/>
        <v>vis</v>
      </c>
      <c r="E24" s="59">
        <f>VLOOKUP(C24,A!C$21:E$973,3,FALSE)</f>
        <v>-8249.022519550681</v>
      </c>
      <c r="F24" s="5" t="s">
        <v>62</v>
      </c>
      <c r="G24" s="13" t="str">
        <f t="shared" si="4"/>
        <v>27453.383</v>
      </c>
      <c r="H24" s="24">
        <f t="shared" si="5"/>
        <v>-8249</v>
      </c>
      <c r="I24" s="60" t="s">
        <v>70</v>
      </c>
      <c r="J24" s="61" t="s">
        <v>71</v>
      </c>
      <c r="K24" s="60">
        <v>-8249</v>
      </c>
      <c r="L24" s="60" t="s">
        <v>72</v>
      </c>
      <c r="M24" s="61" t="s">
        <v>67</v>
      </c>
      <c r="N24" s="61"/>
      <c r="O24" s="62" t="s">
        <v>68</v>
      </c>
      <c r="P24" s="62" t="s">
        <v>69</v>
      </c>
    </row>
    <row r="25" spans="1:16" ht="12.75" customHeight="1" thickBot="1">
      <c r="A25" s="24" t="str">
        <f t="shared" si="0"/>
        <v> AA 6.109 </v>
      </c>
      <c r="B25" s="5" t="str">
        <f t="shared" si="1"/>
        <v>I</v>
      </c>
      <c r="C25" s="24">
        <f t="shared" si="2"/>
        <v>27455.278</v>
      </c>
      <c r="D25" s="13" t="str">
        <f t="shared" si="3"/>
        <v>vis</v>
      </c>
      <c r="E25" s="59">
        <f>VLOOKUP(C25,A!C$21:E$973,3,FALSE)</f>
        <v>-8246.986325803895</v>
      </c>
      <c r="F25" s="5" t="s">
        <v>62</v>
      </c>
      <c r="G25" s="13" t="str">
        <f t="shared" si="4"/>
        <v>27455.278</v>
      </c>
      <c r="H25" s="24">
        <f t="shared" si="5"/>
        <v>-8247</v>
      </c>
      <c r="I25" s="60" t="s">
        <v>73</v>
      </c>
      <c r="J25" s="61" t="s">
        <v>74</v>
      </c>
      <c r="K25" s="60">
        <v>-8247</v>
      </c>
      <c r="L25" s="60" t="s">
        <v>75</v>
      </c>
      <c r="M25" s="61" t="s">
        <v>67</v>
      </c>
      <c r="N25" s="61"/>
      <c r="O25" s="62" t="s">
        <v>68</v>
      </c>
      <c r="P25" s="62" t="s">
        <v>69</v>
      </c>
    </row>
    <row r="26" spans="1:16" ht="12.75" customHeight="1" thickBot="1">
      <c r="A26" s="24" t="str">
        <f t="shared" si="0"/>
        <v> AA 6.109 </v>
      </c>
      <c r="B26" s="5" t="str">
        <f t="shared" si="1"/>
        <v>I</v>
      </c>
      <c r="C26" s="24">
        <f t="shared" si="2"/>
        <v>27507.395</v>
      </c>
      <c r="D26" s="13" t="str">
        <f t="shared" si="3"/>
        <v>vis</v>
      </c>
      <c r="E26" s="59">
        <f>VLOOKUP(C26,A!C$21:E$973,3,FALSE)</f>
        <v>-8190.98616247859</v>
      </c>
      <c r="F26" s="5" t="s">
        <v>62</v>
      </c>
      <c r="G26" s="13" t="str">
        <f t="shared" si="4"/>
        <v>27507.395</v>
      </c>
      <c r="H26" s="24">
        <f t="shared" si="5"/>
        <v>-8191</v>
      </c>
      <c r="I26" s="60" t="s">
        <v>76</v>
      </c>
      <c r="J26" s="61" t="s">
        <v>77</v>
      </c>
      <c r="K26" s="60">
        <v>-8191</v>
      </c>
      <c r="L26" s="60" t="s">
        <v>75</v>
      </c>
      <c r="M26" s="61" t="s">
        <v>67</v>
      </c>
      <c r="N26" s="61"/>
      <c r="O26" s="62" t="s">
        <v>68</v>
      </c>
      <c r="P26" s="62" t="s">
        <v>69</v>
      </c>
    </row>
    <row r="27" spans="1:16" ht="12.75" customHeight="1" thickBot="1">
      <c r="A27" s="24" t="str">
        <f t="shared" si="0"/>
        <v> AA 6.109 </v>
      </c>
      <c r="B27" s="5" t="str">
        <f t="shared" si="1"/>
        <v>I</v>
      </c>
      <c r="C27" s="24">
        <f t="shared" si="2"/>
        <v>27534.382</v>
      </c>
      <c r="D27" s="13" t="str">
        <f t="shared" si="3"/>
        <v>vis</v>
      </c>
      <c r="E27" s="59">
        <f>VLOOKUP(C27,A!C$21:E$973,3,FALSE)</f>
        <v>-8161.988399605439</v>
      </c>
      <c r="F27" s="5" t="s">
        <v>62</v>
      </c>
      <c r="G27" s="13" t="str">
        <f t="shared" si="4"/>
        <v>27534.382</v>
      </c>
      <c r="H27" s="24">
        <f t="shared" si="5"/>
        <v>-8162</v>
      </c>
      <c r="I27" s="60" t="s">
        <v>78</v>
      </c>
      <c r="J27" s="61" t="s">
        <v>79</v>
      </c>
      <c r="K27" s="60">
        <v>-8162</v>
      </c>
      <c r="L27" s="60" t="s">
        <v>80</v>
      </c>
      <c r="M27" s="61" t="s">
        <v>67</v>
      </c>
      <c r="N27" s="61"/>
      <c r="O27" s="62" t="s">
        <v>68</v>
      </c>
      <c r="P27" s="62" t="s">
        <v>69</v>
      </c>
    </row>
    <row r="28" spans="1:16" ht="12.75" customHeight="1" thickBot="1">
      <c r="A28" s="24" t="str">
        <f t="shared" si="0"/>
        <v> AA 6.109 </v>
      </c>
      <c r="B28" s="5" t="str">
        <f t="shared" si="1"/>
        <v>I</v>
      </c>
      <c r="C28" s="24">
        <f t="shared" si="2"/>
        <v>27535.286</v>
      </c>
      <c r="D28" s="13" t="str">
        <f t="shared" si="3"/>
        <v>vis</v>
      </c>
      <c r="E28" s="59">
        <f>VLOOKUP(C28,A!C$21:E$973,3,FALSE)</f>
        <v>-8161.017043854992</v>
      </c>
      <c r="F28" s="5" t="s">
        <v>62</v>
      </c>
      <c r="G28" s="13" t="str">
        <f t="shared" si="4"/>
        <v>27535.286</v>
      </c>
      <c r="H28" s="24">
        <f t="shared" si="5"/>
        <v>-8161</v>
      </c>
      <c r="I28" s="60" t="s">
        <v>81</v>
      </c>
      <c r="J28" s="61" t="s">
        <v>82</v>
      </c>
      <c r="K28" s="60">
        <v>-8161</v>
      </c>
      <c r="L28" s="60" t="s">
        <v>83</v>
      </c>
      <c r="M28" s="61" t="s">
        <v>67</v>
      </c>
      <c r="N28" s="61"/>
      <c r="O28" s="62" t="s">
        <v>68</v>
      </c>
      <c r="P28" s="62" t="s">
        <v>69</v>
      </c>
    </row>
    <row r="29" spans="1:16" ht="12.75" customHeight="1" thickBot="1">
      <c r="A29" s="24" t="str">
        <f t="shared" si="0"/>
        <v> AA 6.109 </v>
      </c>
      <c r="B29" s="5" t="str">
        <f t="shared" si="1"/>
        <v>I</v>
      </c>
      <c r="C29" s="24">
        <f t="shared" si="2"/>
        <v>27692.561</v>
      </c>
      <c r="D29" s="13" t="str">
        <f t="shared" si="3"/>
        <v>vis</v>
      </c>
      <c r="E29" s="59">
        <f>VLOOKUP(C29,A!C$21:E$973,3,FALSE)</f>
        <v>-7992.023707957164</v>
      </c>
      <c r="F29" s="5" t="s">
        <v>62</v>
      </c>
      <c r="G29" s="13" t="str">
        <f t="shared" si="4"/>
        <v>27692.561</v>
      </c>
      <c r="H29" s="24">
        <f t="shared" si="5"/>
        <v>-7992</v>
      </c>
      <c r="I29" s="60" t="s">
        <v>84</v>
      </c>
      <c r="J29" s="61" t="s">
        <v>85</v>
      </c>
      <c r="K29" s="60">
        <v>-7992</v>
      </c>
      <c r="L29" s="60" t="s">
        <v>86</v>
      </c>
      <c r="M29" s="61" t="s">
        <v>67</v>
      </c>
      <c r="N29" s="61"/>
      <c r="O29" s="62" t="s">
        <v>68</v>
      </c>
      <c r="P29" s="62" t="s">
        <v>69</v>
      </c>
    </row>
    <row r="30" spans="1:16" ht="12.75" customHeight="1" thickBot="1">
      <c r="A30" s="24" t="str">
        <f t="shared" si="0"/>
        <v> AA 6.109 </v>
      </c>
      <c r="B30" s="5" t="str">
        <f t="shared" si="1"/>
        <v>I</v>
      </c>
      <c r="C30" s="24">
        <f t="shared" si="2"/>
        <v>27693.504</v>
      </c>
      <c r="D30" s="13" t="str">
        <f t="shared" si="3"/>
        <v>vis</v>
      </c>
      <c r="E30" s="59">
        <f>VLOOKUP(C30,A!C$21:E$973,3,FALSE)</f>
        <v>-7991.01044637235</v>
      </c>
      <c r="F30" s="5" t="s">
        <v>62</v>
      </c>
      <c r="G30" s="13" t="str">
        <f t="shared" si="4"/>
        <v>27693.504</v>
      </c>
      <c r="H30" s="24">
        <f t="shared" si="5"/>
        <v>-7991</v>
      </c>
      <c r="I30" s="60" t="s">
        <v>87</v>
      </c>
      <c r="J30" s="61" t="s">
        <v>88</v>
      </c>
      <c r="K30" s="60">
        <v>-7991</v>
      </c>
      <c r="L30" s="60" t="s">
        <v>89</v>
      </c>
      <c r="M30" s="61" t="s">
        <v>67</v>
      </c>
      <c r="N30" s="61"/>
      <c r="O30" s="62" t="s">
        <v>68</v>
      </c>
      <c r="P30" s="62" t="s">
        <v>69</v>
      </c>
    </row>
    <row r="31" spans="1:16" ht="12.75" customHeight="1" thickBot="1">
      <c r="A31" s="24" t="str">
        <f t="shared" si="0"/>
        <v> AA 6.109 </v>
      </c>
      <c r="B31" s="5" t="str">
        <f t="shared" si="1"/>
        <v>I</v>
      </c>
      <c r="C31" s="24">
        <f t="shared" si="2"/>
        <v>28165.344</v>
      </c>
      <c r="D31" s="13" t="str">
        <f t="shared" si="3"/>
        <v>vis</v>
      </c>
      <c r="E31" s="59">
        <f>VLOOKUP(C31,A!C$21:E$973,3,FALSE)</f>
        <v>-7484.0143210502665</v>
      </c>
      <c r="F31" s="5" t="s">
        <v>62</v>
      </c>
      <c r="G31" s="13" t="str">
        <f t="shared" si="4"/>
        <v>28165.344</v>
      </c>
      <c r="H31" s="24">
        <f t="shared" si="5"/>
        <v>-7484</v>
      </c>
      <c r="I31" s="60" t="s">
        <v>90</v>
      </c>
      <c r="J31" s="61" t="s">
        <v>91</v>
      </c>
      <c r="K31" s="60">
        <v>-7484</v>
      </c>
      <c r="L31" s="60" t="s">
        <v>92</v>
      </c>
      <c r="M31" s="61" t="s">
        <v>67</v>
      </c>
      <c r="N31" s="61"/>
      <c r="O31" s="62" t="s">
        <v>68</v>
      </c>
      <c r="P31" s="62" t="s">
        <v>69</v>
      </c>
    </row>
    <row r="32" spans="1:16" ht="12.75" customHeight="1" thickBot="1">
      <c r="A32" s="24" t="str">
        <f t="shared" si="0"/>
        <v> AAC 4.83 </v>
      </c>
      <c r="B32" s="5" t="str">
        <f t="shared" si="1"/>
        <v>I</v>
      </c>
      <c r="C32" s="24">
        <f t="shared" si="2"/>
        <v>32539.49</v>
      </c>
      <c r="D32" s="13" t="str">
        <f t="shared" si="3"/>
        <v>vis</v>
      </c>
      <c r="E32" s="59">
        <f>VLOOKUP(C32,A!C$21:E$973,3,FALSE)</f>
        <v>-2783.9569422924405</v>
      </c>
      <c r="F32" s="5" t="s">
        <v>62</v>
      </c>
      <c r="G32" s="13" t="str">
        <f t="shared" si="4"/>
        <v>32539.490</v>
      </c>
      <c r="H32" s="24">
        <f t="shared" si="5"/>
        <v>-2784</v>
      </c>
      <c r="I32" s="60" t="s">
        <v>93</v>
      </c>
      <c r="J32" s="61" t="s">
        <v>94</v>
      </c>
      <c r="K32" s="60">
        <v>-2784</v>
      </c>
      <c r="L32" s="60" t="s">
        <v>95</v>
      </c>
      <c r="M32" s="61" t="s">
        <v>67</v>
      </c>
      <c r="N32" s="61"/>
      <c r="O32" s="62" t="s">
        <v>96</v>
      </c>
      <c r="P32" s="62" t="s">
        <v>97</v>
      </c>
    </row>
    <row r="33" spans="1:16" ht="12.75" customHeight="1" thickBot="1">
      <c r="A33" s="24" t="str">
        <f t="shared" si="0"/>
        <v> AA 6.109 </v>
      </c>
      <c r="B33" s="5" t="str">
        <f t="shared" si="1"/>
        <v>I</v>
      </c>
      <c r="C33" s="24">
        <f t="shared" si="2"/>
        <v>32609.275</v>
      </c>
      <c r="D33" s="13" t="str">
        <f t="shared" si="3"/>
        <v>vis</v>
      </c>
      <c r="E33" s="59">
        <f>VLOOKUP(C33,A!C$21:E$973,3,FALSE)</f>
        <v>-2708.9723614904706</v>
      </c>
      <c r="F33" s="5" t="s">
        <v>62</v>
      </c>
      <c r="G33" s="13" t="str">
        <f t="shared" si="4"/>
        <v>32609.275</v>
      </c>
      <c r="H33" s="24">
        <f t="shared" si="5"/>
        <v>-2709</v>
      </c>
      <c r="I33" s="60" t="s">
        <v>98</v>
      </c>
      <c r="J33" s="61" t="s">
        <v>99</v>
      </c>
      <c r="K33" s="60">
        <v>-2709</v>
      </c>
      <c r="L33" s="60" t="s">
        <v>100</v>
      </c>
      <c r="M33" s="61" t="s">
        <v>67</v>
      </c>
      <c r="N33" s="61"/>
      <c r="O33" s="62" t="s">
        <v>96</v>
      </c>
      <c r="P33" s="62" t="s">
        <v>69</v>
      </c>
    </row>
    <row r="34" spans="1:16" ht="12.75" customHeight="1" thickBot="1">
      <c r="A34" s="24" t="str">
        <f t="shared" si="0"/>
        <v> AA 6.109 </v>
      </c>
      <c r="B34" s="5" t="str">
        <f t="shared" si="1"/>
        <v>I</v>
      </c>
      <c r="C34" s="24">
        <f t="shared" si="2"/>
        <v>32794.474</v>
      </c>
      <c r="D34" s="13" t="str">
        <f t="shared" si="3"/>
        <v>vis</v>
      </c>
      <c r="E34" s="59">
        <f>VLOOKUP(C34,A!C$21:E$973,3,FALSE)</f>
        <v>-2509.9744481861194</v>
      </c>
      <c r="F34" s="5" t="s">
        <v>62</v>
      </c>
      <c r="G34" s="13" t="str">
        <f t="shared" si="4"/>
        <v>32794.474</v>
      </c>
      <c r="H34" s="24">
        <f t="shared" si="5"/>
        <v>-2510</v>
      </c>
      <c r="I34" s="60" t="s">
        <v>101</v>
      </c>
      <c r="J34" s="61" t="s">
        <v>102</v>
      </c>
      <c r="K34" s="60">
        <v>-2510</v>
      </c>
      <c r="L34" s="60" t="s">
        <v>103</v>
      </c>
      <c r="M34" s="61" t="s">
        <v>67</v>
      </c>
      <c r="N34" s="61"/>
      <c r="O34" s="62" t="s">
        <v>96</v>
      </c>
      <c r="P34" s="62" t="s">
        <v>69</v>
      </c>
    </row>
    <row r="35" spans="1:16" ht="12.75" customHeight="1" thickBot="1">
      <c r="A35" s="24" t="str">
        <f t="shared" si="0"/>
        <v> AAC 4.115 </v>
      </c>
      <c r="B35" s="5" t="str">
        <f t="shared" si="1"/>
        <v>I</v>
      </c>
      <c r="C35" s="24">
        <f t="shared" si="2"/>
        <v>32807.506</v>
      </c>
      <c r="D35" s="13" t="str">
        <f t="shared" si="3"/>
        <v>vis</v>
      </c>
      <c r="E35" s="59">
        <f>VLOOKUP(C35,A!C$21:E$973,3,FALSE)</f>
        <v>-2495.9714524562173</v>
      </c>
      <c r="F35" s="5" t="s">
        <v>62</v>
      </c>
      <c r="G35" s="13" t="str">
        <f t="shared" si="4"/>
        <v>32807.506</v>
      </c>
      <c r="H35" s="24">
        <f t="shared" si="5"/>
        <v>-2496</v>
      </c>
      <c r="I35" s="60" t="s">
        <v>104</v>
      </c>
      <c r="J35" s="61" t="s">
        <v>105</v>
      </c>
      <c r="K35" s="60">
        <v>-2496</v>
      </c>
      <c r="L35" s="60" t="s">
        <v>106</v>
      </c>
      <c r="M35" s="61" t="s">
        <v>67</v>
      </c>
      <c r="N35" s="61"/>
      <c r="O35" s="62" t="s">
        <v>96</v>
      </c>
      <c r="P35" s="62" t="s">
        <v>107</v>
      </c>
    </row>
    <row r="36" spans="1:16" ht="12.75" customHeight="1" thickBot="1">
      <c r="A36" s="24" t="str">
        <f t="shared" si="0"/>
        <v> AA 6.109 </v>
      </c>
      <c r="B36" s="5" t="str">
        <f t="shared" si="1"/>
        <v>I</v>
      </c>
      <c r="C36" s="24">
        <f t="shared" si="2"/>
        <v>32888.449</v>
      </c>
      <c r="D36" s="13" t="str">
        <f t="shared" si="3"/>
        <v>vis</v>
      </c>
      <c r="E36" s="59">
        <f>VLOOKUP(C36,A!C$21:E$973,3,FALSE)</f>
        <v>-2408.9975049910913</v>
      </c>
      <c r="F36" s="5" t="s">
        <v>62</v>
      </c>
      <c r="G36" s="13" t="str">
        <f t="shared" si="4"/>
        <v>32888.449</v>
      </c>
      <c r="H36" s="24">
        <f t="shared" si="5"/>
        <v>-2409</v>
      </c>
      <c r="I36" s="60" t="s">
        <v>108</v>
      </c>
      <c r="J36" s="61" t="s">
        <v>109</v>
      </c>
      <c r="K36" s="60">
        <v>-2409</v>
      </c>
      <c r="L36" s="60" t="s">
        <v>110</v>
      </c>
      <c r="M36" s="61" t="s">
        <v>67</v>
      </c>
      <c r="N36" s="61"/>
      <c r="O36" s="62" t="s">
        <v>96</v>
      </c>
      <c r="P36" s="62" t="s">
        <v>69</v>
      </c>
    </row>
    <row r="37" spans="1:16" ht="12.75" customHeight="1" thickBot="1">
      <c r="A37" s="24" t="str">
        <f t="shared" si="0"/>
        <v> AAC 4.115 </v>
      </c>
      <c r="B37" s="5" t="str">
        <f t="shared" si="1"/>
        <v>I</v>
      </c>
      <c r="C37" s="24">
        <f t="shared" si="2"/>
        <v>32889.385</v>
      </c>
      <c r="D37" s="13" t="str">
        <f t="shared" si="3"/>
        <v>vis</v>
      </c>
      <c r="E37" s="59">
        <f>VLOOKUP(C37,A!C$21:E$973,3,FALSE)</f>
        <v>-2407.9917649662902</v>
      </c>
      <c r="F37" s="5" t="s">
        <v>62</v>
      </c>
      <c r="G37" s="13" t="str">
        <f t="shared" si="4"/>
        <v>32889.385</v>
      </c>
      <c r="H37" s="24">
        <f t="shared" si="5"/>
        <v>-2408</v>
      </c>
      <c r="I37" s="60" t="s">
        <v>111</v>
      </c>
      <c r="J37" s="61" t="s">
        <v>112</v>
      </c>
      <c r="K37" s="60">
        <v>-2408</v>
      </c>
      <c r="L37" s="60" t="s">
        <v>113</v>
      </c>
      <c r="M37" s="61" t="s">
        <v>67</v>
      </c>
      <c r="N37" s="61"/>
      <c r="O37" s="62" t="s">
        <v>96</v>
      </c>
      <c r="P37" s="62" t="s">
        <v>107</v>
      </c>
    </row>
    <row r="38" spans="1:16" ht="12.75" customHeight="1" thickBot="1">
      <c r="A38" s="24" t="str">
        <f t="shared" si="0"/>
        <v> AAC 5.6 </v>
      </c>
      <c r="B38" s="5" t="str">
        <f t="shared" si="1"/>
        <v>I</v>
      </c>
      <c r="C38" s="24">
        <f t="shared" si="2"/>
        <v>33211.378</v>
      </c>
      <c r="D38" s="13" t="str">
        <f t="shared" si="3"/>
        <v>vis</v>
      </c>
      <c r="E38" s="59">
        <f>VLOOKUP(C38,A!C$21:E$973,3,FALSE)</f>
        <v>-2062.007525858052</v>
      </c>
      <c r="F38" s="5" t="s">
        <v>62</v>
      </c>
      <c r="G38" s="13" t="str">
        <f t="shared" si="4"/>
        <v>33211.378</v>
      </c>
      <c r="H38" s="24">
        <f t="shared" si="5"/>
        <v>-2062</v>
      </c>
      <c r="I38" s="60" t="s">
        <v>114</v>
      </c>
      <c r="J38" s="61" t="s">
        <v>115</v>
      </c>
      <c r="K38" s="60">
        <v>-2062</v>
      </c>
      <c r="L38" s="60" t="s">
        <v>116</v>
      </c>
      <c r="M38" s="61" t="s">
        <v>67</v>
      </c>
      <c r="N38" s="61"/>
      <c r="O38" s="62" t="s">
        <v>96</v>
      </c>
      <c r="P38" s="62" t="s">
        <v>117</v>
      </c>
    </row>
    <row r="39" spans="1:16" ht="12.75" customHeight="1" thickBot="1">
      <c r="A39" s="24" t="str">
        <f t="shared" si="0"/>
        <v> AA 6.109 </v>
      </c>
      <c r="B39" s="5" t="str">
        <f t="shared" si="1"/>
        <v>I</v>
      </c>
      <c r="C39" s="24">
        <f t="shared" si="2"/>
        <v>33265.367</v>
      </c>
      <c r="D39" s="13" t="str">
        <f t="shared" si="3"/>
        <v>vis</v>
      </c>
      <c r="E39" s="59">
        <f>VLOOKUP(C39,A!C$21:E$973,3,FALSE)</f>
        <v>-2003.9958824831476</v>
      </c>
      <c r="F39" s="5" t="s">
        <v>62</v>
      </c>
      <c r="G39" s="13" t="str">
        <f t="shared" si="4"/>
        <v>33265.367</v>
      </c>
      <c r="H39" s="24">
        <f t="shared" si="5"/>
        <v>-2004</v>
      </c>
      <c r="I39" s="60" t="s">
        <v>118</v>
      </c>
      <c r="J39" s="61" t="s">
        <v>119</v>
      </c>
      <c r="K39" s="60">
        <v>-2004</v>
      </c>
      <c r="L39" s="60" t="s">
        <v>120</v>
      </c>
      <c r="M39" s="61" t="s">
        <v>67</v>
      </c>
      <c r="N39" s="61"/>
      <c r="O39" s="62" t="s">
        <v>96</v>
      </c>
      <c r="P39" s="62" t="s">
        <v>69</v>
      </c>
    </row>
    <row r="40" spans="1:16" ht="12.75" customHeight="1" thickBot="1">
      <c r="A40" s="24" t="str">
        <f t="shared" si="0"/>
        <v> AA 6.109 </v>
      </c>
      <c r="B40" s="5" t="str">
        <f t="shared" si="1"/>
        <v>I</v>
      </c>
      <c r="C40" s="24">
        <f t="shared" si="2"/>
        <v>33305.368</v>
      </c>
      <c r="D40" s="13" t="str">
        <f t="shared" si="3"/>
        <v>vis</v>
      </c>
      <c r="E40" s="59">
        <f>VLOOKUP(C40,A!C$21:E$973,3,FALSE)</f>
        <v>-1961.014465034414</v>
      </c>
      <c r="F40" s="5" t="s">
        <v>62</v>
      </c>
      <c r="G40" s="13" t="str">
        <f t="shared" si="4"/>
        <v>33305.368</v>
      </c>
      <c r="H40" s="24">
        <f t="shared" si="5"/>
        <v>-1961</v>
      </c>
      <c r="I40" s="60" t="s">
        <v>121</v>
      </c>
      <c r="J40" s="61" t="s">
        <v>122</v>
      </c>
      <c r="K40" s="60">
        <v>-1961</v>
      </c>
      <c r="L40" s="60" t="s">
        <v>92</v>
      </c>
      <c r="M40" s="61" t="s">
        <v>67</v>
      </c>
      <c r="N40" s="61"/>
      <c r="O40" s="62" t="s">
        <v>96</v>
      </c>
      <c r="P40" s="62" t="s">
        <v>69</v>
      </c>
    </row>
    <row r="41" spans="1:16" ht="12.75" customHeight="1" thickBot="1">
      <c r="A41" s="24" t="str">
        <f t="shared" si="0"/>
        <v> AAC 5.9 </v>
      </c>
      <c r="B41" s="5" t="str">
        <f t="shared" si="1"/>
        <v>I</v>
      </c>
      <c r="C41" s="24">
        <f t="shared" si="2"/>
        <v>33306.305</v>
      </c>
      <c r="D41" s="13" t="str">
        <f t="shared" si="3"/>
        <v>vis</v>
      </c>
      <c r="E41" s="59">
        <f>VLOOKUP(C41,A!C$21:E$973,3,FALSE)</f>
        <v>-1960.0076505010427</v>
      </c>
      <c r="F41" s="5" t="s">
        <v>62</v>
      </c>
      <c r="G41" s="13" t="str">
        <f t="shared" si="4"/>
        <v>33306.305</v>
      </c>
      <c r="H41" s="24">
        <f t="shared" si="5"/>
        <v>-1960</v>
      </c>
      <c r="I41" s="60" t="s">
        <v>123</v>
      </c>
      <c r="J41" s="61" t="s">
        <v>124</v>
      </c>
      <c r="K41" s="60">
        <v>-1960</v>
      </c>
      <c r="L41" s="60" t="s">
        <v>116</v>
      </c>
      <c r="M41" s="61" t="s">
        <v>67</v>
      </c>
      <c r="N41" s="61"/>
      <c r="O41" s="62" t="s">
        <v>96</v>
      </c>
      <c r="P41" s="62" t="s">
        <v>125</v>
      </c>
    </row>
    <row r="42" spans="1:16" ht="12.75" customHeight="1" thickBot="1">
      <c r="A42" s="24" t="str">
        <f t="shared" si="0"/>
        <v> AA 6.109 </v>
      </c>
      <c r="B42" s="5" t="str">
        <f t="shared" si="1"/>
        <v>I</v>
      </c>
      <c r="C42" s="24">
        <f t="shared" si="2"/>
        <v>33332.362</v>
      </c>
      <c r="D42" s="13" t="str">
        <f t="shared" si="3"/>
        <v>vis</v>
      </c>
      <c r="E42" s="59">
        <f>VLOOKUP(C42,A!C$21:E$973,3,FALSE)</f>
        <v>-1932.0091806012506</v>
      </c>
      <c r="F42" s="5" t="s">
        <v>62</v>
      </c>
      <c r="G42" s="13" t="str">
        <f t="shared" si="4"/>
        <v>33332.362</v>
      </c>
      <c r="H42" s="24">
        <f t="shared" si="5"/>
        <v>-1932</v>
      </c>
      <c r="I42" s="60" t="s">
        <v>126</v>
      </c>
      <c r="J42" s="61" t="s">
        <v>127</v>
      </c>
      <c r="K42" s="60">
        <v>-1932</v>
      </c>
      <c r="L42" s="60" t="s">
        <v>128</v>
      </c>
      <c r="M42" s="61" t="s">
        <v>67</v>
      </c>
      <c r="N42" s="61"/>
      <c r="O42" s="62" t="s">
        <v>96</v>
      </c>
      <c r="P42" s="62" t="s">
        <v>69</v>
      </c>
    </row>
    <row r="43" spans="1:16" ht="12.75" customHeight="1" thickBot="1">
      <c r="A43" s="24" t="str">
        <f t="shared" si="0"/>
        <v> AA 6.109 </v>
      </c>
      <c r="B43" s="5" t="str">
        <f t="shared" si="1"/>
        <v>I</v>
      </c>
      <c r="C43" s="24">
        <f t="shared" si="2"/>
        <v>33570.619</v>
      </c>
      <c r="D43" s="13" t="str">
        <f t="shared" si="3"/>
        <v>vis</v>
      </c>
      <c r="E43" s="59">
        <f>VLOOKUP(C43,A!C$21:E$973,3,FALSE)</f>
        <v>-1675.9999914039324</v>
      </c>
      <c r="F43" s="5" t="s">
        <v>62</v>
      </c>
      <c r="G43" s="13" t="str">
        <f t="shared" si="4"/>
        <v>33570.619</v>
      </c>
      <c r="H43" s="24">
        <f t="shared" si="5"/>
        <v>-1676</v>
      </c>
      <c r="I43" s="60" t="s">
        <v>129</v>
      </c>
      <c r="J43" s="61" t="s">
        <v>130</v>
      </c>
      <c r="K43" s="60">
        <v>-1676</v>
      </c>
      <c r="L43" s="60" t="s">
        <v>131</v>
      </c>
      <c r="M43" s="61" t="s">
        <v>67</v>
      </c>
      <c r="N43" s="61"/>
      <c r="O43" s="62" t="s">
        <v>96</v>
      </c>
      <c r="P43" s="62" t="s">
        <v>69</v>
      </c>
    </row>
    <row r="44" spans="1:16" ht="12.75" customHeight="1" thickBot="1">
      <c r="A44" s="24" t="str">
        <f t="shared" si="0"/>
        <v> AAC 5.9 </v>
      </c>
      <c r="B44" s="5" t="str">
        <f t="shared" si="1"/>
        <v>I</v>
      </c>
      <c r="C44" s="24">
        <f t="shared" si="2"/>
        <v>33599.47</v>
      </c>
      <c r="D44" s="13" t="str">
        <f t="shared" si="3"/>
        <v>vis</v>
      </c>
      <c r="E44" s="59">
        <f>VLOOKUP(C44,A!C$21:E$973,3,FALSE)</f>
        <v>-1644.9993445497685</v>
      </c>
      <c r="F44" s="5" t="s">
        <v>62</v>
      </c>
      <c r="G44" s="13" t="str">
        <f t="shared" si="4"/>
        <v>33599.470</v>
      </c>
      <c r="H44" s="24">
        <f t="shared" si="5"/>
        <v>-1645</v>
      </c>
      <c r="I44" s="60" t="s">
        <v>132</v>
      </c>
      <c r="J44" s="61" t="s">
        <v>133</v>
      </c>
      <c r="K44" s="60">
        <v>-1645</v>
      </c>
      <c r="L44" s="60" t="s">
        <v>134</v>
      </c>
      <c r="M44" s="61" t="s">
        <v>67</v>
      </c>
      <c r="N44" s="61"/>
      <c r="O44" s="62" t="s">
        <v>96</v>
      </c>
      <c r="P44" s="62" t="s">
        <v>125</v>
      </c>
    </row>
    <row r="45" spans="1:16" ht="12.75" customHeight="1" thickBot="1">
      <c r="A45" s="24" t="str">
        <f t="shared" si="0"/>
        <v> AAC 5.12 </v>
      </c>
      <c r="B45" s="5" t="str">
        <f t="shared" si="1"/>
        <v>I</v>
      </c>
      <c r="C45" s="24">
        <f t="shared" si="2"/>
        <v>33949.379</v>
      </c>
      <c r="D45" s="13" t="str">
        <f t="shared" si="3"/>
        <v>vis</v>
      </c>
      <c r="E45" s="59">
        <f>VLOOKUP(C45,A!C$21:E$973,3,FALSE)</f>
        <v>-1269.01912410359</v>
      </c>
      <c r="F45" s="5" t="s">
        <v>62</v>
      </c>
      <c r="G45" s="13" t="str">
        <f t="shared" si="4"/>
        <v>33949.379</v>
      </c>
      <c r="H45" s="24">
        <f t="shared" si="5"/>
        <v>-1269</v>
      </c>
      <c r="I45" s="60" t="s">
        <v>135</v>
      </c>
      <c r="J45" s="61" t="s">
        <v>136</v>
      </c>
      <c r="K45" s="60">
        <v>-1269</v>
      </c>
      <c r="L45" s="60" t="s">
        <v>137</v>
      </c>
      <c r="M45" s="61" t="s">
        <v>67</v>
      </c>
      <c r="N45" s="61"/>
      <c r="O45" s="62" t="s">
        <v>96</v>
      </c>
      <c r="P45" s="62" t="s">
        <v>138</v>
      </c>
    </row>
    <row r="46" spans="1:16" ht="12.75" customHeight="1" thickBot="1">
      <c r="A46" s="24" t="str">
        <f t="shared" si="0"/>
        <v> AA 6.109 </v>
      </c>
      <c r="B46" s="5" t="str">
        <f t="shared" si="1"/>
        <v>I</v>
      </c>
      <c r="C46" s="24">
        <f t="shared" si="2"/>
        <v>34043.375</v>
      </c>
      <c r="D46" s="13" t="str">
        <f t="shared" si="3"/>
        <v>vis</v>
      </c>
      <c r="E46" s="59">
        <f>VLOOKUP(C46,A!C$21:E$973,3,FALSE)</f>
        <v>-1168.0196162285174</v>
      </c>
      <c r="F46" s="5" t="s">
        <v>62</v>
      </c>
      <c r="G46" s="13" t="str">
        <f t="shared" si="4"/>
        <v>34043.375</v>
      </c>
      <c r="H46" s="24">
        <f t="shared" si="5"/>
        <v>-1168</v>
      </c>
      <c r="I46" s="60" t="s">
        <v>139</v>
      </c>
      <c r="J46" s="61" t="s">
        <v>140</v>
      </c>
      <c r="K46" s="60">
        <v>-1168</v>
      </c>
      <c r="L46" s="60" t="s">
        <v>137</v>
      </c>
      <c r="M46" s="61" t="s">
        <v>67</v>
      </c>
      <c r="N46" s="61"/>
      <c r="O46" s="62" t="s">
        <v>96</v>
      </c>
      <c r="P46" s="62" t="s">
        <v>69</v>
      </c>
    </row>
    <row r="47" spans="1:16" ht="12.75" customHeight="1" thickBot="1">
      <c r="A47" s="24" t="str">
        <f t="shared" si="0"/>
        <v> AAC 5.192 </v>
      </c>
      <c r="B47" s="5" t="str">
        <f t="shared" si="1"/>
        <v>I</v>
      </c>
      <c r="C47" s="24">
        <f t="shared" si="2"/>
        <v>34419.38</v>
      </c>
      <c r="D47" s="13" t="str">
        <f t="shared" si="3"/>
        <v>vis</v>
      </c>
      <c r="E47" s="59">
        <f>VLOOKUP(C47,A!C$21:E$973,3,FALSE)</f>
        <v>-763.9990200481834</v>
      </c>
      <c r="F47" s="5" t="s">
        <v>62</v>
      </c>
      <c r="G47" s="13" t="str">
        <f t="shared" si="4"/>
        <v>34419.380</v>
      </c>
      <c r="H47" s="24">
        <f t="shared" si="5"/>
        <v>-764</v>
      </c>
      <c r="I47" s="60" t="s">
        <v>141</v>
      </c>
      <c r="J47" s="61" t="s">
        <v>142</v>
      </c>
      <c r="K47" s="60">
        <v>-764</v>
      </c>
      <c r="L47" s="60" t="s">
        <v>134</v>
      </c>
      <c r="M47" s="61" t="s">
        <v>67</v>
      </c>
      <c r="N47" s="61"/>
      <c r="O47" s="62" t="s">
        <v>96</v>
      </c>
      <c r="P47" s="62" t="s">
        <v>143</v>
      </c>
    </row>
    <row r="48" spans="1:16" ht="12.75" customHeight="1" thickBot="1">
      <c r="A48" s="24" t="str">
        <f t="shared" si="0"/>
        <v> AAC 5.192 </v>
      </c>
      <c r="B48" s="5" t="str">
        <f t="shared" si="1"/>
        <v>I</v>
      </c>
      <c r="C48" s="24">
        <f t="shared" si="2"/>
        <v>34698.546</v>
      </c>
      <c r="D48" s="13" t="str">
        <f t="shared" si="3"/>
        <v>vis</v>
      </c>
      <c r="E48" s="59">
        <f>VLOOKUP(C48,A!C$21:E$973,3,FALSE)</f>
        <v>-464.0327596173864</v>
      </c>
      <c r="F48" s="5" t="s">
        <v>62</v>
      </c>
      <c r="G48" s="13" t="str">
        <f t="shared" si="4"/>
        <v>34698.546</v>
      </c>
      <c r="H48" s="24">
        <f t="shared" si="5"/>
        <v>-464</v>
      </c>
      <c r="I48" s="60" t="s">
        <v>144</v>
      </c>
      <c r="J48" s="61" t="s">
        <v>145</v>
      </c>
      <c r="K48" s="60">
        <v>-464</v>
      </c>
      <c r="L48" s="60" t="s">
        <v>146</v>
      </c>
      <c r="M48" s="61" t="s">
        <v>67</v>
      </c>
      <c r="N48" s="61"/>
      <c r="O48" s="62" t="s">
        <v>96</v>
      </c>
      <c r="P48" s="62" t="s">
        <v>143</v>
      </c>
    </row>
    <row r="49" spans="1:16" ht="12.75" customHeight="1" thickBot="1">
      <c r="A49" s="24" t="str">
        <f t="shared" si="0"/>
        <v> AAC 5.195 </v>
      </c>
      <c r="B49" s="5" t="str">
        <f t="shared" si="1"/>
        <v>I</v>
      </c>
      <c r="C49" s="24">
        <f t="shared" si="2"/>
        <v>35075.503</v>
      </c>
      <c r="D49" s="13" t="str">
        <f t="shared" si="3"/>
        <v>vis</v>
      </c>
      <c r="E49" s="59">
        <f>VLOOKUP(C49,A!C$21:E$973,3,FALSE)</f>
        <v>-58.989231275079206</v>
      </c>
      <c r="F49" s="5" t="s">
        <v>62</v>
      </c>
      <c r="G49" s="13" t="str">
        <f t="shared" si="4"/>
        <v>35075.503</v>
      </c>
      <c r="H49" s="24">
        <f t="shared" si="5"/>
        <v>-59</v>
      </c>
      <c r="I49" s="60" t="s">
        <v>147</v>
      </c>
      <c r="J49" s="61" t="s">
        <v>148</v>
      </c>
      <c r="K49" s="60">
        <v>-59</v>
      </c>
      <c r="L49" s="60" t="s">
        <v>149</v>
      </c>
      <c r="M49" s="61" t="s">
        <v>67</v>
      </c>
      <c r="N49" s="61"/>
      <c r="O49" s="62" t="s">
        <v>96</v>
      </c>
      <c r="P49" s="62" t="s">
        <v>150</v>
      </c>
    </row>
    <row r="50" spans="1:16" ht="12.75" customHeight="1" thickBot="1">
      <c r="A50" s="24" t="str">
        <f t="shared" si="0"/>
        <v> AAC 5.195 </v>
      </c>
      <c r="B50" s="5" t="str">
        <f t="shared" si="1"/>
        <v>I</v>
      </c>
      <c r="C50" s="24">
        <f t="shared" si="2"/>
        <v>35130.388</v>
      </c>
      <c r="D50" s="13" t="str">
        <f t="shared" si="3"/>
        <v>vis</v>
      </c>
      <c r="E50" s="59">
        <f>VLOOKUP(C50,A!C$21:E$973,3,FALSE)</f>
        <v>-0.014828218315029413</v>
      </c>
      <c r="F50" s="5" t="s">
        <v>62</v>
      </c>
      <c r="G50" s="13" t="str">
        <f t="shared" si="4"/>
        <v>35130.388</v>
      </c>
      <c r="H50" s="24">
        <f t="shared" si="5"/>
        <v>0</v>
      </c>
      <c r="I50" s="60" t="s">
        <v>151</v>
      </c>
      <c r="J50" s="61" t="s">
        <v>152</v>
      </c>
      <c r="K50" s="60">
        <v>0</v>
      </c>
      <c r="L50" s="60" t="s">
        <v>153</v>
      </c>
      <c r="M50" s="61" t="s">
        <v>67</v>
      </c>
      <c r="N50" s="61"/>
      <c r="O50" s="62" t="s">
        <v>96</v>
      </c>
      <c r="P50" s="62" t="s">
        <v>150</v>
      </c>
    </row>
    <row r="51" spans="1:16" ht="12.75" customHeight="1" thickBot="1">
      <c r="A51" s="24" t="str">
        <f t="shared" si="0"/>
        <v> AA 8.192 </v>
      </c>
      <c r="B51" s="5" t="str">
        <f t="shared" si="1"/>
        <v>I</v>
      </c>
      <c r="C51" s="24">
        <f t="shared" si="2"/>
        <v>36163.436</v>
      </c>
      <c r="D51" s="13" t="str">
        <f t="shared" si="3"/>
        <v>vis</v>
      </c>
      <c r="E51" s="59">
        <f>VLOOKUP(C51,A!C$21:E$973,3,FALSE)</f>
        <v>1110.0041046227527</v>
      </c>
      <c r="F51" s="5" t="s">
        <v>62</v>
      </c>
      <c r="G51" s="13" t="str">
        <f t="shared" si="4"/>
        <v>36163.436</v>
      </c>
      <c r="H51" s="24">
        <f t="shared" si="5"/>
        <v>1110</v>
      </c>
      <c r="I51" s="60" t="s">
        <v>154</v>
      </c>
      <c r="J51" s="61" t="s">
        <v>155</v>
      </c>
      <c r="K51" s="60">
        <v>1110</v>
      </c>
      <c r="L51" s="60" t="s">
        <v>120</v>
      </c>
      <c r="M51" s="61" t="s">
        <v>67</v>
      </c>
      <c r="N51" s="61"/>
      <c r="O51" s="62" t="s">
        <v>96</v>
      </c>
      <c r="P51" s="62" t="s">
        <v>156</v>
      </c>
    </row>
    <row r="52" spans="1:16" ht="12.75" customHeight="1" thickBot="1">
      <c r="A52" s="24" t="str">
        <f t="shared" si="0"/>
        <v>OEJV 0107 </v>
      </c>
      <c r="B52" s="5" t="str">
        <f t="shared" si="1"/>
        <v>I</v>
      </c>
      <c r="C52" s="24">
        <f t="shared" si="2"/>
        <v>53637.5139</v>
      </c>
      <c r="D52" s="13" t="str">
        <f t="shared" si="3"/>
        <v>vis</v>
      </c>
      <c r="E52" s="59">
        <f>VLOOKUP(C52,A!C$21:E$973,3,FALSE)</f>
        <v>19886.050622247913</v>
      </c>
      <c r="F52" s="5" t="s">
        <v>62</v>
      </c>
      <c r="G52" s="13" t="str">
        <f t="shared" si="4"/>
        <v>53637.5139</v>
      </c>
      <c r="H52" s="24">
        <f t="shared" si="5"/>
        <v>19886</v>
      </c>
      <c r="I52" s="60" t="s">
        <v>184</v>
      </c>
      <c r="J52" s="61" t="s">
        <v>185</v>
      </c>
      <c r="K52" s="60" t="s">
        <v>186</v>
      </c>
      <c r="L52" s="60" t="s">
        <v>187</v>
      </c>
      <c r="M52" s="61" t="s">
        <v>188</v>
      </c>
      <c r="N52" s="61" t="s">
        <v>189</v>
      </c>
      <c r="O52" s="62" t="s">
        <v>190</v>
      </c>
      <c r="P52" s="63" t="s">
        <v>191</v>
      </c>
    </row>
    <row r="53" spans="1:16" ht="12.75" customHeight="1" thickBot="1">
      <c r="A53" s="24" t="str">
        <f t="shared" si="0"/>
        <v>IBVS 5741 </v>
      </c>
      <c r="B53" s="5" t="str">
        <f t="shared" si="1"/>
        <v>I</v>
      </c>
      <c r="C53" s="24">
        <f t="shared" si="2"/>
        <v>53705.4514</v>
      </c>
      <c r="D53" s="13" t="str">
        <f t="shared" si="3"/>
        <v>vis</v>
      </c>
      <c r="E53" s="59">
        <f>VLOOKUP(C53,A!C$21:E$973,3,FALSE)</f>
        <v>19959.050048460336</v>
      </c>
      <c r="F53" s="5" t="s">
        <v>62</v>
      </c>
      <c r="G53" s="13" t="str">
        <f t="shared" si="4"/>
        <v>53705.4514</v>
      </c>
      <c r="H53" s="24">
        <f t="shared" si="5"/>
        <v>19959</v>
      </c>
      <c r="I53" s="60" t="s">
        <v>192</v>
      </c>
      <c r="J53" s="61" t="s">
        <v>193</v>
      </c>
      <c r="K53" s="60" t="s">
        <v>194</v>
      </c>
      <c r="L53" s="60" t="s">
        <v>195</v>
      </c>
      <c r="M53" s="61" t="s">
        <v>160</v>
      </c>
      <c r="N53" s="61" t="s">
        <v>176</v>
      </c>
      <c r="O53" s="62" t="s">
        <v>196</v>
      </c>
      <c r="P53" s="63" t="s">
        <v>197</v>
      </c>
    </row>
    <row r="54" spans="1:16" ht="12.75" customHeight="1" thickBot="1">
      <c r="A54" s="24" t="str">
        <f t="shared" si="0"/>
        <v>OEJV 0107 </v>
      </c>
      <c r="B54" s="5" t="str">
        <f t="shared" si="1"/>
        <v>I</v>
      </c>
      <c r="C54" s="24">
        <f t="shared" si="2"/>
        <v>54135.4136</v>
      </c>
      <c r="D54" s="13" t="str">
        <f t="shared" si="3"/>
        <v>vis</v>
      </c>
      <c r="E54" s="59">
        <f>VLOOKUP(C54,A!C$21:E$973,3,FALSE)</f>
        <v>20421.04811864294</v>
      </c>
      <c r="F54" s="5" t="s">
        <v>62</v>
      </c>
      <c r="G54" s="13" t="str">
        <f t="shared" si="4"/>
        <v>54135.4136</v>
      </c>
      <c r="H54" s="24">
        <f t="shared" si="5"/>
        <v>20421</v>
      </c>
      <c r="I54" s="60" t="s">
        <v>205</v>
      </c>
      <c r="J54" s="61" t="s">
        <v>206</v>
      </c>
      <c r="K54" s="60" t="s">
        <v>207</v>
      </c>
      <c r="L54" s="60" t="s">
        <v>208</v>
      </c>
      <c r="M54" s="61" t="s">
        <v>188</v>
      </c>
      <c r="N54" s="61" t="s">
        <v>189</v>
      </c>
      <c r="O54" s="62" t="s">
        <v>190</v>
      </c>
      <c r="P54" s="63" t="s">
        <v>191</v>
      </c>
    </row>
    <row r="55" spans="2:6" ht="12.75">
      <c r="B55" s="5"/>
      <c r="E55" s="59"/>
      <c r="F55" s="5"/>
    </row>
    <row r="56" spans="2:6" ht="12.75">
      <c r="B56" s="5"/>
      <c r="E56" s="59"/>
      <c r="F56" s="5"/>
    </row>
    <row r="57" spans="2:6" ht="12.75">
      <c r="B57" s="5"/>
      <c r="E57" s="59"/>
      <c r="F57" s="5"/>
    </row>
    <row r="58" spans="2:6" ht="12.75">
      <c r="B58" s="5"/>
      <c r="E58" s="59"/>
      <c r="F58" s="5"/>
    </row>
    <row r="59" spans="2:6" ht="12.75">
      <c r="B59" s="5"/>
      <c r="E59" s="59"/>
      <c r="F59" s="5"/>
    </row>
    <row r="60" spans="2:6" ht="12.75">
      <c r="B60" s="5"/>
      <c r="E60" s="59"/>
      <c r="F60" s="5"/>
    </row>
    <row r="61" spans="2:6" ht="12.75">
      <c r="B61" s="5"/>
      <c r="E61" s="59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</sheetData>
  <sheetProtection/>
  <hyperlinks>
    <hyperlink ref="P11" r:id="rId1" display="http://www.bav-astro.de/sfs/BAVM_link.php?BAVMnr=152"/>
    <hyperlink ref="P12" r:id="rId2" display="http://www.bav-astro.de/sfs/BAVM_link.php?BAVMnr=152"/>
    <hyperlink ref="P13" r:id="rId3" display="http://www.bav-astro.de/sfs/BAVM_link.php?BAVMnr=152"/>
    <hyperlink ref="P14" r:id="rId4" display="http://www.konkoly.hu/cgi-bin/IBVS?5502"/>
    <hyperlink ref="P15" r:id="rId5" display="http://www.bav-astro.de/sfs/BAVM_link.php?BAVMnr=158"/>
    <hyperlink ref="P52" r:id="rId6" display="http://var.astro.cz/oejv/issues/oejv0107.pdf"/>
    <hyperlink ref="P53" r:id="rId7" display="http://www.konkoly.hu/cgi-bin/IBVS?5741"/>
    <hyperlink ref="P16" r:id="rId8" display="http://www.bav-astro.de/sfs/BAVM_link.php?BAVMnr=186"/>
    <hyperlink ref="P54" r:id="rId9" display="http://var.astro.cz/oejv/issues/oejv0107.pdf"/>
    <hyperlink ref="P17" r:id="rId10" display="http://www.bav-astro.de/sfs/BAVM_link.php?BAVMnr=209"/>
    <hyperlink ref="P18" r:id="rId11" display="http://www.konkoly.hu/cgi-bin/IBVS?5945"/>
    <hyperlink ref="P19" r:id="rId12" display="http://www.konkoly.hu/cgi-bin/IBVS?6029"/>
    <hyperlink ref="P20" r:id="rId13" display="http://www.bav-astro.de/sfs/BAVM_link.php?BAVMnr=238"/>
    <hyperlink ref="P21" r:id="rId14" display="http://www.bav-astro.de/sfs/BAVM_link.php?BAVMnr=239"/>
    <hyperlink ref="P22" r:id="rId15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