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<sst xmlns="http://schemas.openxmlformats.org/spreadsheetml/2006/main" count="448" uniqueCount="227">
  <si>
    <t>BV Tau / GSC 01861-01567</t>
  </si>
  <si>
    <t>System Type:</t>
  </si>
  <si>
    <t>EB/KE:</t>
  </si>
  <si>
    <t>Eccentric orbit??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</si>
  <si>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</si>
  <si>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</si>
  <si>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</si>
  <si>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</si>
  <si>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</si>
  <si>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</si>
  <si>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</si>
  <si>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</si>
  <si>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</si>
  <si>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</si>
  <si>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</si>
  <si>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</si>
  <si>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</si>
  <si>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</si>
  <si>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</si>
  <si>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</si>
  <si>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</si>
  <si>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</si>
  <si>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</si>
  <si>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</si>
  <si>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</si>
  <si>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</si>
  <si>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</si>
  <si>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</si>
  <si>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</si>
  <si>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</si>
  <si>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</si>
  <si>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</si>
  <si>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</si>
  <si>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</si>
  <si>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</si>
  <si>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</si>
  <si>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</si>
  <si>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</si>
  <si>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</si>
  <si>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s7</t>
  </si>
  <si>
    <t>Lin Fit</t>
  </si>
  <si>
    <t>Q. Fit</t>
  </si>
  <si>
    <t>Date</t>
  </si>
  <si>
    <t>BAD?</t>
  </si>
  <si>
    <t> MHAR 20.12 </t>
  </si>
  <si>
    <t>I</t>
  </si>
  <si>
    <t>Brelstaff 1986</t>
  </si>
  <si>
    <t> VSSC 60.23 </t>
  </si>
  <si>
    <t> VSSC 61.19 </t>
  </si>
  <si>
    <t>II</t>
  </si>
  <si>
    <t>GCVS 4</t>
  </si>
  <si>
    <t> VSSC 68.34 </t>
  </si>
  <si>
    <t> VSSC 72.27 </t>
  </si>
  <si>
    <t>IBVS 5378</t>
  </si>
  <si>
    <t>IBVS 5809 </t>
  </si>
  <si>
    <t>IBVS 5731</t>
  </si>
  <si>
    <t>OEJV 0074</t>
  </si>
  <si>
    <t>IBVS 5672</t>
  </si>
  <si>
    <t>IBVS 5761</t>
  </si>
  <si>
    <t>IBVS 5894</t>
  </si>
  <si>
    <t>IBVS 5920</t>
  </si>
  <si>
    <t>IBVS 5960</t>
  </si>
  <si>
    <t>IBVS 6149</t>
  </si>
  <si>
    <t>VSB 060</t>
  </si>
  <si>
    <t>V</t>
  </si>
  <si>
    <t>OEJV 0211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</si>
  <si>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</si>
  <si>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</si>
  <si>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</si>
  <si>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</si>
  <si>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</si>
  <si>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</si>
  <si>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2445014.27 </t>
  </si>
  <si>
    <t> 13.02.1982 18:28 </t>
  </si>
  <si>
    <t> 0.01 </t>
  </si>
  <si>
    <t>V </t>
  </si>
  <si>
    <t> T.Brelstaff </t>
  </si>
  <si>
    <t> JBAA 96.99 </t>
  </si>
  <si>
    <t>2445040.30 </t>
  </si>
  <si>
    <t> 11.03.1982 19:12 </t>
  </si>
  <si>
    <t> -0.01 </t>
  </si>
  <si>
    <t>2452550.9138 </t>
  </si>
  <si>
    <t> 03.10.2002 09:55 </t>
  </si>
  <si>
    <t> 0.0908 </t>
  </si>
  <si>
    <t>E </t>
  </si>
  <si>
    <t>?</t>
  </si>
  <si>
    <t> S.Dvorak </t>
  </si>
  <si>
    <t>IBVS 5378 </t>
  </si>
  <si>
    <t>2453387.3898 </t>
  </si>
  <si>
    <t> 16.01.2005 21:21 </t>
  </si>
  <si>
    <t> 0.1013 </t>
  </si>
  <si>
    <t>C </t>
  </si>
  <si>
    <t>-I</t>
  </si>
  <si>
    <t> Rätz </t>
  </si>
  <si>
    <t>BAVM 178 </t>
  </si>
  <si>
    <t>2453716.7693 </t>
  </si>
  <si>
    <t> 12.12.2005 06:27 </t>
  </si>
  <si>
    <t>8237</t>
  </si>
  <si>
    <t> 0.1050 </t>
  </si>
  <si>
    <t> R. Nelson </t>
  </si>
  <si>
    <t>IBVS 5672 </t>
  </si>
  <si>
    <t>2453750.26551 </t>
  </si>
  <si>
    <t> 14.01.2006 18:22 </t>
  </si>
  <si>
    <t>8273</t>
  </si>
  <si>
    <t> 0.10539 </t>
  </si>
  <si>
    <t>R</t>
  </si>
  <si>
    <t> L.Brát </t>
  </si>
  <si>
    <t>OEJV 0074 </t>
  </si>
  <si>
    <t>2454055.4514 </t>
  </si>
  <si>
    <t> 15.11.2006 22:50 </t>
  </si>
  <si>
    <t>8601</t>
  </si>
  <si>
    <t> 0.1070 </t>
  </si>
  <si>
    <t>o</t>
  </si>
  <si>
    <t> U. Schmidt </t>
  </si>
  <si>
    <t>BAVM 183 </t>
  </si>
  <si>
    <t>2454862.6214 </t>
  </si>
  <si>
    <t> 31.01.2009 02:54 </t>
  </si>
  <si>
    <t>9468.5</t>
  </si>
  <si>
    <t> 0.1203 </t>
  </si>
  <si>
    <t> R.Diethelm </t>
  </si>
  <si>
    <t>IBVS 5894 </t>
  </si>
  <si>
    <t>2455139.8956 </t>
  </si>
  <si>
    <t> 04.11.2009 09:29 </t>
  </si>
  <si>
    <t>9766.5</t>
  </si>
  <si>
    <t> 0.1233 </t>
  </si>
  <si>
    <t>IBVS 5920 </t>
  </si>
  <si>
    <t>2455527.8925 </t>
  </si>
  <si>
    <t> 27.11.2010 09:25 </t>
  </si>
  <si>
    <t>10183.5</t>
  </si>
  <si>
    <t> 0.1268 </t>
  </si>
  <si>
    <t>IBVS 5960 </t>
  </si>
  <si>
    <t>2456725.4061 </t>
  </si>
  <si>
    <t> 08.03.2014 21:44 </t>
  </si>
  <si>
    <t>11470.5</t>
  </si>
  <si>
    <t> 0.1641 </t>
  </si>
  <si>
    <t> U.Schmidt </t>
  </si>
  <si>
    <t>BAVM 238 </t>
  </si>
  <si>
    <t>2436904.437 </t>
  </si>
  <si>
    <t> 01.12.1959 22:29 </t>
  </si>
  <si>
    <t> -0.107 </t>
  </si>
  <si>
    <t>P </t>
  </si>
  <si>
    <t> T.Berthold </t>
  </si>
  <si>
    <t>2436957.403 </t>
  </si>
  <si>
    <t> 23.01.1960 21:40 </t>
  </si>
  <si>
    <t> -0.176 </t>
  </si>
  <si>
    <t>2437319.386 </t>
  </si>
  <si>
    <t> 19.01.1961 21:15 </t>
  </si>
  <si>
    <t> -0.134 </t>
  </si>
  <si>
    <t>2437346.374 </t>
  </si>
  <si>
    <t> 15.02.1961 20:58 </t>
  </si>
  <si>
    <t> -0.129 </t>
  </si>
  <si>
    <t>2439056.531 </t>
  </si>
  <si>
    <t> 23.10.1965 00:44 </t>
  </si>
  <si>
    <t> -0.121 </t>
  </si>
  <si>
    <t>2439179.351 </t>
  </si>
  <si>
    <t> 22.02.1966 20:25 </t>
  </si>
  <si>
    <t> -0.119 </t>
  </si>
  <si>
    <t>2442069.322 </t>
  </si>
  <si>
    <t> 21.01.1974 19:43 </t>
  </si>
  <si>
    <t> -0.094 </t>
  </si>
  <si>
    <t>2443192.391 </t>
  </si>
  <si>
    <t> 17.02.1977 21:23 </t>
  </si>
  <si>
    <t> -0.066 </t>
  </si>
  <si>
    <t>2445044.948 </t>
  </si>
  <si>
    <t> 16.03.1982 10:45 </t>
  </si>
  <si>
    <t> -0.015 </t>
  </si>
  <si>
    <t>2445053.316 </t>
  </si>
  <si>
    <t> 24.03.1982 19:35 </t>
  </si>
  <si>
    <t> -0.021 </t>
  </si>
  <si>
    <t>2445079.373 </t>
  </si>
  <si>
    <t> 19.04.1982 20:57 </t>
  </si>
  <si>
    <t> -0.017 </t>
  </si>
  <si>
    <t>2445414.323 </t>
  </si>
  <si>
    <t> 20.03.1983 19:45 </t>
  </si>
  <si>
    <t> -0.025 </t>
  </si>
  <si>
    <t>2445436.199 </t>
  </si>
  <si>
    <t> 11.04.1983 16:46 </t>
  </si>
  <si>
    <t>2445436.655 </t>
  </si>
  <si>
    <t> 12.04.1983 03:43 </t>
  </si>
  <si>
    <t> -0.024 </t>
  </si>
  <si>
    <t>2445440.368 </t>
  </si>
  <si>
    <t> 15.04.1983 20:49 </t>
  </si>
  <si>
    <t> -0.032 </t>
  </si>
  <si>
    <t>2445815.392 </t>
  </si>
  <si>
    <t> 24.04.1984 21:24 </t>
  </si>
  <si>
    <t> 0.024 </t>
  </si>
  <si>
    <t>2446052.633 </t>
  </si>
  <si>
    <t> 18.12.1984 03:11 </t>
  </si>
  <si>
    <t> 0.003 </t>
  </si>
  <si>
    <t>2446109.393 </t>
  </si>
  <si>
    <t> 12.02.1985 21:25 </t>
  </si>
  <si>
    <t> 0.006 </t>
  </si>
  <si>
    <t>2446135.440 </t>
  </si>
  <si>
    <t> 10.03.1985 22:33 </t>
  </si>
  <si>
    <t> 0.001 </t>
  </si>
  <si>
    <t>2446136.374 </t>
  </si>
  <si>
    <t> 11.03.1985 20:58 </t>
  </si>
  <si>
    <t> 0.004 </t>
  </si>
  <si>
    <t>2446444.370 </t>
  </si>
  <si>
    <t> 13.01.1986 20:52 </t>
  </si>
  <si>
    <t> 0.025 </t>
  </si>
  <si>
    <t>2447206.366 </t>
  </si>
  <si>
    <t> 14.02.1988 20:47 </t>
  </si>
  <si>
    <t> -0.010 </t>
  </si>
  <si>
    <t> G.Kirby </t>
  </si>
  <si>
    <t>2452679.3175 </t>
  </si>
  <si>
    <t> 08.02.2003 19:37 </t>
  </si>
  <si>
    <t> 0.0938 </t>
  </si>
  <si>
    <t> P.Sobotka (ESA INTEGRAL) </t>
  </si>
  <si>
    <t>2452679.7755 </t>
  </si>
  <si>
    <t> 09.02.2003 06:36 </t>
  </si>
  <si>
    <t> 0.0866 </t>
  </si>
  <si>
    <t>2452680.2469 </t>
  </si>
  <si>
    <t> 09.02.2003 17:55 </t>
  </si>
  <si>
    <t> 0.0928 </t>
  </si>
  <si>
    <t>2452681.176 </t>
  </si>
  <si>
    <t> 10.02.2003 16:13 </t>
  </si>
  <si>
    <t> 0.091 </t>
  </si>
  <si>
    <t>2452681.6333 </t>
  </si>
  <si>
    <t> 11.02.2003 03:11 </t>
  </si>
  <si>
    <t> 0.0835 </t>
  </si>
  <si>
    <t>2452688.6214 </t>
  </si>
  <si>
    <t> 18.02.2003 02:54 </t>
  </si>
  <si>
    <t> 0.0933 </t>
  </si>
  <si>
    <t>2452690.478 </t>
  </si>
  <si>
    <t> 19.02.2003 23:28 </t>
  </si>
  <si>
    <t> 0.089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</si>
</sst>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52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40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3" fillId="0" borderId="0" xfId="0" applyNumberFormat="1" applyFont="1" applyAlignment="1">
      <alignment vertical="top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0" borderId="0" xfId="60" applyFont="1" applyAlignment="1">
      <alignment horizontal="left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>
      <alignment/>
      <protection/>
    </xf>
    <xf numFmtId="0" fontId="14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6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10" fillId="33" borderId="19" xfId="0" applyFont="1" applyFill="1" applyBorder="1" applyAlignment="1">
      <alignment horizontal="left" vertical="top" wrapText="1" inden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right" vertical="top" wrapText="1"/>
    </xf>
    <xf numFmtId="0" fontId="16" fillId="33" borderId="19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BV Tau - O-C Diagr.</a:t>
            </a:r>
          </a:p>
        </c:rich>
      </c:tx>
      <c:layout>
        <c:manualLayout>
          <c:xMode val="factor"/>
          <c:yMode val="factor"/>
          <c:x val="-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125"/>
          <c:w val="0.90225"/>
          <c:h val="0.6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A!$F$21:$F$67</c:f>
              <c:numCache/>
            </c:numRef>
          </c:xVal>
          <c:yVal>
            <c:numRef>
              <c:f>A!$H$21:$H$67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A!$F$21:$F$67</c:f>
              <c:numCache/>
            </c:numRef>
          </c:xVal>
          <c:yVal>
            <c:numRef>
              <c:f>A!$I$21:$I$67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A!$F$21:$F$67</c:f>
              <c:numCache/>
            </c:numRef>
          </c:xVal>
          <c:yVal>
            <c:numRef>
              <c:f>A!$J$21:$J$67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A!$F$21:$F$67</c:f>
              <c:numCache/>
            </c:numRef>
          </c:xVal>
          <c:yVal>
            <c:numRef>
              <c:f>A!$K$21:$K$67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A!$F$21:$F$67</c:f>
              <c:numCache/>
            </c:numRef>
          </c:xVal>
          <c:yVal>
            <c:numRef>
              <c:f>A!$L$21:$L$67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A!$F$21:$F$67</c:f>
              <c:numCache/>
            </c:numRef>
          </c:xVal>
          <c:yVal>
            <c:numRef>
              <c:f>A!$M$21:$M$67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A!$F$21:$F$67</c:f>
              <c:numCache/>
            </c:numRef>
          </c:xVal>
          <c:yVal>
            <c:numRef>
              <c:f>A!$N$21:$N$67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A!$F$21:$F$67</c:f>
              <c:numCache/>
            </c:numRef>
          </c:xVal>
          <c:yVal>
            <c:numRef>
              <c:f>A!$O$21:$O$67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A!$F$21:$F$67</c:f>
              <c:numCache/>
            </c:numRef>
          </c:xVal>
          <c:yVal>
            <c:numRef>
              <c:f>A!$U$21:$U$67</c:f>
              <c:numCache/>
            </c:numRef>
          </c:yVal>
          <c:smooth val="0"/>
        </c:ser>
        <c:axId val="20582280"/>
        <c:axId val="66243049"/>
      </c:scatterChart>
      <c:valAx>
        <c:axId val="20582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3049"/>
        <c:crossesAt val="0"/>
        <c:crossBetween val="midCat"/>
        <c:dispUnits/>
      </c:valAx>
      <c:valAx>
        <c:axId val="66243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228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923"/>
          <c:w val="0.76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16</xdr:col>
      <xdr:colOff>323850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514850" y="0"/>
        <a:ext cx="5905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378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konkoly.hu/cgi-bin/IBVS?5672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bav-astro.de/sfs/BAVM_link.php?BAVMnr=183" TargetMode="External" /><Relationship Id="rId6" Type="http://schemas.openxmlformats.org/officeDocument/2006/relationships/hyperlink" Target="http://www.konkoly.hu/cgi-bin/IBVS?5894" TargetMode="External" /><Relationship Id="rId7" Type="http://schemas.openxmlformats.org/officeDocument/2006/relationships/hyperlink" Target="http://www.konkoly.hu/cgi-bin/IBVS?5920" TargetMode="External" /><Relationship Id="rId8" Type="http://schemas.openxmlformats.org/officeDocument/2006/relationships/hyperlink" Target="http://www.konkoly.hu/cgi-bin/IBVS?5960" TargetMode="External" /><Relationship Id="rId9" Type="http://schemas.openxmlformats.org/officeDocument/2006/relationships/hyperlink" Target="http://www.bav-astro.de/sfs/BAVM_link.php?BAVMnr=238" TargetMode="External" /><Relationship Id="rId10" Type="http://schemas.openxmlformats.org/officeDocument/2006/relationships/hyperlink" Target="http://www.konkoly.hu/cgi-bin/IBVS?5809" TargetMode="External" /><Relationship Id="rId11" Type="http://schemas.openxmlformats.org/officeDocument/2006/relationships/hyperlink" Target="http://www.konkoly.hu/cgi-bin/IBVS?5809" TargetMode="External" /><Relationship Id="rId12" Type="http://schemas.openxmlformats.org/officeDocument/2006/relationships/hyperlink" Target="http://www.konkoly.hu/cgi-bin/IBVS?5809" TargetMode="External" /><Relationship Id="rId13" Type="http://schemas.openxmlformats.org/officeDocument/2006/relationships/hyperlink" Target="http://www.konkoly.hu/cgi-bin/IBVS?5809" TargetMode="External" /><Relationship Id="rId14" Type="http://schemas.openxmlformats.org/officeDocument/2006/relationships/hyperlink" Target="http://www.konkoly.hu/cgi-bin/IBVS?5809" TargetMode="External" /><Relationship Id="rId15" Type="http://schemas.openxmlformats.org/officeDocument/2006/relationships/hyperlink" Target="http://www.konkoly.hu/cgi-bin/IBVS?5809" TargetMode="External" /><Relationship Id="rId16" Type="http://schemas.openxmlformats.org/officeDocument/2006/relationships/hyperlink" Target="http://www.konkoly.hu/cgi-bin/IBVS?58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1" t="s">
        <v>2</v>
      </c>
    </row>
    <row r="3" ht="12.75">
      <c r="C3" s="3" t="s">
        <v>3</v>
      </c>
    </row>
    <row r="4" spans="1:4" ht="12.75">
      <c r="A4" s="4" t="s">
        <v>4</v>
      </c>
      <c r="C4" s="5">
        <v>46052.63</v>
      </c>
      <c r="D4" s="6">
        <v>0.93044</v>
      </c>
    </row>
    <row r="5" spans="1:4" ht="12.75">
      <c r="A5" s="7" t="s">
        <v>5</v>
      </c>
      <c r="B5"/>
      <c r="C5" s="8">
        <v>-9.5</v>
      </c>
      <c r="D5" t="s">
        <v>6</v>
      </c>
    </row>
    <row r="6" ht="12.75">
      <c r="A6" s="4" t="s">
        <v>7</v>
      </c>
    </row>
    <row r="7" spans="1:3" ht="12.75">
      <c r="A7" s="1" t="s">
        <v>8</v>
      </c>
      <c r="C7" s="1">
        <f>+C4</f>
        <v>46052.63</v>
      </c>
    </row>
    <row r="8" spans="1:3" ht="12.75">
      <c r="A8" s="1" t="s">
        <v>9</v>
      </c>
      <c r="C8" s="1">
        <f>+D4</f>
        <v>0.93044</v>
      </c>
    </row>
    <row r="9" spans="1:4" ht="12.75">
      <c r="A9" s="9" t="s">
        <v>10</v>
      </c>
      <c r="B9" s="10">
        <v>21</v>
      </c>
      <c r="C9" s="11" t="str">
        <f>"F"&amp;B9</f>
        <v>F21</v>
      </c>
      <c r="D9" s="3" t="str">
        <f>"G"&amp;B9</f>
        <v>G21</v>
      </c>
    </row>
    <row r="10" spans="1:5" ht="12.75">
      <c r="A10"/>
      <c r="B10"/>
      <c r="C10" s="12" t="s">
        <v>11</v>
      </c>
      <c r="D10" s="12" t="s">
        <v>12</v>
      </c>
      <c r="E10"/>
    </row>
    <row r="11" spans="1:5" ht="12.75">
      <c r="A11" t="s">
        <v>13</v>
      </c>
      <c r="B11"/>
      <c r="C11" s="13">
        <f ca="1">INTERCEPT(INDIRECT($D$9):G992,INDIRECT($C$9):F992)</f>
        <v>-0.006141774584734638</v>
      </c>
      <c r="D11" s="14"/>
      <c r="E11"/>
    </row>
    <row r="12" spans="1:5" ht="12.75">
      <c r="A12" t="s">
        <v>14</v>
      </c>
      <c r="B12"/>
      <c r="C12" s="13">
        <f ca="1">SLOPE(INDIRECT($D$9):G992,INDIRECT($C$9):F992)</f>
        <v>1.3632471388896144E-05</v>
      </c>
      <c r="D12" s="14"/>
      <c r="E12"/>
    </row>
    <row r="13" spans="1:3" ht="12.75">
      <c r="A13" t="s">
        <v>15</v>
      </c>
      <c r="B13"/>
      <c r="C13" s="14" t="s">
        <v>16</v>
      </c>
    </row>
    <row r="14" spans="1:3" ht="12.75">
      <c r="A14"/>
      <c r="B14"/>
      <c r="C14"/>
    </row>
    <row r="15" spans="1:6" ht="12.75">
      <c r="A15" s="15" t="s">
        <v>17</v>
      </c>
      <c r="B15"/>
      <c r="C15" s="16">
        <f>(C7+C11)+(C8+C12)*INT(MAX(F21:F3533))</f>
        <v>58178.29559659256</v>
      </c>
      <c r="E15" s="17" t="s">
        <v>18</v>
      </c>
      <c r="F15" s="8">
        <v>1</v>
      </c>
    </row>
    <row r="16" spans="1:6" ht="12.75">
      <c r="A16" s="15" t="s">
        <v>19</v>
      </c>
      <c r="B16"/>
      <c r="C16" s="16">
        <f>+C8+C12</f>
        <v>0.9304536324713889</v>
      </c>
      <c r="E16" s="17" t="s">
        <v>20</v>
      </c>
      <c r="F16" s="13">
        <f ca="1">NOW()+15018.5+$C$5/24</f>
        <v>59906.864821296294</v>
      </c>
    </row>
    <row r="17" spans="1:6" ht="12.75">
      <c r="A17" s="17" t="s">
        <v>21</v>
      </c>
      <c r="B17"/>
      <c r="C17">
        <f>COUNT(C21:C2191)</f>
        <v>47</v>
      </c>
      <c r="E17" s="17" t="s">
        <v>22</v>
      </c>
      <c r="F17" s="13">
        <f>ROUND(2*(F16-$C$7)/$C$8,0)/2+F15</f>
        <v>14891</v>
      </c>
    </row>
    <row r="18" spans="1:6" ht="12.75">
      <c r="A18" s="15" t="s">
        <v>23</v>
      </c>
      <c r="B18"/>
      <c r="C18" s="18">
        <f>+C15</f>
        <v>58178.29559659256</v>
      </c>
      <c r="D18" s="19">
        <f>+C16</f>
        <v>0.9304536324713889</v>
      </c>
      <c r="E18" s="17" t="s">
        <v>24</v>
      </c>
      <c r="F18" s="3">
        <f>ROUND(2*(F16-$C$15)/$C$16,0)/2+F15</f>
        <v>1859</v>
      </c>
    </row>
    <row r="19" spans="5:6" ht="12.75">
      <c r="E19" s="17" t="s">
        <v>25</v>
      </c>
      <c r="F19" s="20">
        <f>+$C$15+$C$16*F18-15018.5-$C$5/24</f>
        <v>44889.90473269021</v>
      </c>
    </row>
    <row r="20" spans="1:21" ht="12.75">
      <c r="A20" s="12" t="s">
        <v>26</v>
      </c>
      <c r="B20" s="12" t="s">
        <v>27</v>
      </c>
      <c r="C20" s="12" t="s">
        <v>28</v>
      </c>
      <c r="D20" s="12" t="s">
        <v>29</v>
      </c>
      <c r="E20" s="12" t="s">
        <v>30</v>
      </c>
      <c r="F20" s="12" t="s">
        <v>31</v>
      </c>
      <c r="G20" s="12" t="s">
        <v>32</v>
      </c>
      <c r="H20" s="21" t="s">
        <v>33</v>
      </c>
      <c r="I20" s="21" t="s">
        <v>34</v>
      </c>
      <c r="J20" s="21" t="s">
        <v>35</v>
      </c>
      <c r="K20" s="21" t="s">
        <v>36</v>
      </c>
      <c r="L20" s="21" t="s">
        <v>37</v>
      </c>
      <c r="M20" s="21" t="s">
        <v>38</v>
      </c>
      <c r="N20" s="21" t="s">
        <v>39</v>
      </c>
      <c r="O20" s="21" t="s">
        <v>40</v>
      </c>
      <c r="P20" s="21" t="s">
        <v>41</v>
      </c>
      <c r="Q20" s="12" t="s">
        <v>42</v>
      </c>
      <c r="U20" s="22" t="s">
        <v>43</v>
      </c>
    </row>
    <row r="21" spans="1:17" ht="12.75">
      <c r="A21" s="23" t="s">
        <v>44</v>
      </c>
      <c r="B21" s="24" t="s">
        <v>45</v>
      </c>
      <c r="C21" s="23">
        <v>36904.437</v>
      </c>
      <c r="D21" s="14"/>
      <c r="E21" s="1">
        <f aca="true" t="shared" si="0" ref="E21:E65">+(C21-C$7)/C$8</f>
        <v>-9832.114913374317</v>
      </c>
      <c r="F21" s="1">
        <f aca="true" t="shared" si="1" ref="F21:F66">ROUND(2*E21,0)/2</f>
        <v>-9832</v>
      </c>
      <c r="G21" s="1">
        <f aca="true" t="shared" si="2" ref="G21:G31">+C21-(C$7+F21*C$8)</f>
        <v>-0.10691999999835389</v>
      </c>
      <c r="H21" s="1">
        <f aca="true" t="shared" si="3" ref="H21:H34">+G21</f>
        <v>-0.10691999999835389</v>
      </c>
      <c r="O21" s="1">
        <f aca="true" t="shared" si="4" ref="O21:O65">+C$11+C$12*$F21</f>
        <v>-0.14017623328036152</v>
      </c>
      <c r="Q21" s="60">
        <f aca="true" t="shared" si="5" ref="Q21:Q65">+C21-15018.5</f>
        <v>21885.936999999998</v>
      </c>
    </row>
    <row r="22" spans="1:17" ht="12.75">
      <c r="A22" s="23" t="s">
        <v>44</v>
      </c>
      <c r="B22" s="24" t="s">
        <v>45</v>
      </c>
      <c r="C22" s="23">
        <v>36957.403</v>
      </c>
      <c r="D22" s="14"/>
      <c r="E22" s="1">
        <f t="shared" si="0"/>
        <v>-9775.189157817806</v>
      </c>
      <c r="F22" s="1">
        <f t="shared" si="1"/>
        <v>-9775</v>
      </c>
      <c r="G22" s="1">
        <f t="shared" si="2"/>
        <v>-0.17599999999947613</v>
      </c>
      <c r="H22" s="1">
        <f t="shared" si="3"/>
        <v>-0.17599999999947613</v>
      </c>
      <c r="O22" s="1">
        <f t="shared" si="4"/>
        <v>-0.13939918241119445</v>
      </c>
      <c r="Q22" s="60">
        <f t="shared" si="5"/>
        <v>21938.903</v>
      </c>
    </row>
    <row r="23" spans="1:17" ht="12.75">
      <c r="A23" s="23" t="s">
        <v>44</v>
      </c>
      <c r="B23" s="24" t="s">
        <v>45</v>
      </c>
      <c r="C23" s="23">
        <v>37319.386</v>
      </c>
      <c r="D23" s="14"/>
      <c r="E23" s="1">
        <f t="shared" si="0"/>
        <v>-9386.144189845663</v>
      </c>
      <c r="F23" s="1">
        <f t="shared" si="1"/>
        <v>-9386</v>
      </c>
      <c r="G23" s="1">
        <f t="shared" si="2"/>
        <v>-0.13416000000142958</v>
      </c>
      <c r="H23" s="1">
        <f t="shared" si="3"/>
        <v>-0.13416000000142958</v>
      </c>
      <c r="O23" s="1">
        <f t="shared" si="4"/>
        <v>-0.13409615104091385</v>
      </c>
      <c r="Q23" s="60">
        <f t="shared" si="5"/>
        <v>22300.886</v>
      </c>
    </row>
    <row r="24" spans="1:17" ht="12.75">
      <c r="A24" s="23" t="s">
        <v>44</v>
      </c>
      <c r="B24" s="24" t="s">
        <v>45</v>
      </c>
      <c r="C24" s="23">
        <v>37346.374</v>
      </c>
      <c r="D24" s="14"/>
      <c r="E24" s="1">
        <f t="shared" si="0"/>
        <v>-9357.138558101537</v>
      </c>
      <c r="F24" s="1">
        <f t="shared" si="1"/>
        <v>-9357</v>
      </c>
      <c r="G24" s="1">
        <f t="shared" si="2"/>
        <v>-0.12891999999555992</v>
      </c>
      <c r="H24" s="1">
        <f t="shared" si="3"/>
        <v>-0.12891999999555992</v>
      </c>
      <c r="O24" s="1">
        <f t="shared" si="4"/>
        <v>-0.13370080937063586</v>
      </c>
      <c r="Q24" s="60">
        <f t="shared" si="5"/>
        <v>22327.874000000003</v>
      </c>
    </row>
    <row r="25" spans="1:17" ht="12.75">
      <c r="A25" s="23" t="s">
        <v>44</v>
      </c>
      <c r="B25" s="24" t="s">
        <v>45</v>
      </c>
      <c r="C25" s="23">
        <v>39056.531</v>
      </c>
      <c r="D25" s="14"/>
      <c r="E25" s="1">
        <f t="shared" si="0"/>
        <v>-7519.129659086017</v>
      </c>
      <c r="F25" s="1">
        <f t="shared" si="1"/>
        <v>-7519</v>
      </c>
      <c r="G25" s="1">
        <f t="shared" si="2"/>
        <v>-0.12063999999372754</v>
      </c>
      <c r="H25" s="1">
        <f t="shared" si="3"/>
        <v>-0.12063999999372754</v>
      </c>
      <c r="O25" s="1">
        <f t="shared" si="4"/>
        <v>-0.10864432695784475</v>
      </c>
      <c r="Q25" s="60">
        <f t="shared" si="5"/>
        <v>24038.031000000003</v>
      </c>
    </row>
    <row r="26" spans="1:17" ht="12.75">
      <c r="A26" s="23" t="s">
        <v>44</v>
      </c>
      <c r="B26" s="24" t="s">
        <v>45</v>
      </c>
      <c r="C26" s="23">
        <v>39179.351</v>
      </c>
      <c r="D26" s="14"/>
      <c r="E26" s="1">
        <f t="shared" si="0"/>
        <v>-7387.127595546188</v>
      </c>
      <c r="F26" s="1">
        <f t="shared" si="1"/>
        <v>-7387</v>
      </c>
      <c r="G26" s="1">
        <f t="shared" si="2"/>
        <v>-0.11871999999129912</v>
      </c>
      <c r="H26" s="1">
        <f t="shared" si="3"/>
        <v>-0.11871999999129912</v>
      </c>
      <c r="O26" s="1">
        <f t="shared" si="4"/>
        <v>-0.10684484073451045</v>
      </c>
      <c r="Q26" s="60">
        <f t="shared" si="5"/>
        <v>24160.851000000002</v>
      </c>
    </row>
    <row r="27" spans="1:17" ht="12.75">
      <c r="A27" s="23" t="s">
        <v>44</v>
      </c>
      <c r="B27" s="24" t="s">
        <v>45</v>
      </c>
      <c r="C27" s="23">
        <v>42069.322</v>
      </c>
      <c r="D27" s="14"/>
      <c r="E27" s="1">
        <f t="shared" si="0"/>
        <v>-4281.101414384589</v>
      </c>
      <c r="F27" s="1">
        <f t="shared" si="1"/>
        <v>-4281</v>
      </c>
      <c r="G27" s="1">
        <f t="shared" si="2"/>
        <v>-0.09435999999550404</v>
      </c>
      <c r="H27" s="1">
        <f t="shared" si="3"/>
        <v>-0.09435999999550404</v>
      </c>
      <c r="O27" s="1">
        <f t="shared" si="4"/>
        <v>-0.06450238460059904</v>
      </c>
      <c r="Q27" s="60">
        <f t="shared" si="5"/>
        <v>27050.822</v>
      </c>
    </row>
    <row r="28" spans="1:17" ht="12.75">
      <c r="A28" s="23" t="s">
        <v>44</v>
      </c>
      <c r="B28" s="24" t="s">
        <v>45</v>
      </c>
      <c r="C28" s="23">
        <v>43192.391</v>
      </c>
      <c r="D28" s="14"/>
      <c r="E28" s="1">
        <f t="shared" si="0"/>
        <v>-3074.0714070762156</v>
      </c>
      <c r="F28" s="1">
        <f t="shared" si="1"/>
        <v>-3074</v>
      </c>
      <c r="G28" s="1">
        <f t="shared" si="2"/>
        <v>-0.06643999999505468</v>
      </c>
      <c r="H28" s="1">
        <f t="shared" si="3"/>
        <v>-0.06643999999505468</v>
      </c>
      <c r="O28" s="1">
        <f t="shared" si="4"/>
        <v>-0.048047991634201384</v>
      </c>
      <c r="Q28" s="60">
        <f t="shared" si="5"/>
        <v>28173.891000000003</v>
      </c>
    </row>
    <row r="29" spans="1:17" ht="12.75">
      <c r="A29" s="1" t="s">
        <v>46</v>
      </c>
      <c r="C29" s="25">
        <v>45014.27</v>
      </c>
      <c r="D29" s="25"/>
      <c r="E29" s="1">
        <f t="shared" si="0"/>
        <v>-1115.9881346459745</v>
      </c>
      <c r="F29" s="1">
        <f t="shared" si="1"/>
        <v>-1116</v>
      </c>
      <c r="G29" s="1">
        <f t="shared" si="2"/>
        <v>0.011039999997592531</v>
      </c>
      <c r="H29" s="1">
        <f t="shared" si="3"/>
        <v>0.011039999997592531</v>
      </c>
      <c r="O29" s="1">
        <f t="shared" si="4"/>
        <v>-0.021355612654742735</v>
      </c>
      <c r="Q29" s="60">
        <f t="shared" si="5"/>
        <v>29995.769999999997</v>
      </c>
    </row>
    <row r="30" spans="1:17" ht="12.75">
      <c r="A30" s="1" t="s">
        <v>46</v>
      </c>
      <c r="C30" s="25">
        <v>45040.3</v>
      </c>
      <c r="D30" s="25"/>
      <c r="E30" s="1">
        <f t="shared" si="0"/>
        <v>-1088.0121232964989</v>
      </c>
      <c r="F30" s="1">
        <f t="shared" si="1"/>
        <v>-1088</v>
      </c>
      <c r="G30" s="1">
        <f t="shared" si="2"/>
        <v>-0.011279999991529621</v>
      </c>
      <c r="H30" s="1">
        <f t="shared" si="3"/>
        <v>-0.011279999991529621</v>
      </c>
      <c r="O30" s="1">
        <f t="shared" si="4"/>
        <v>-0.02097390345585364</v>
      </c>
      <c r="Q30" s="60">
        <f t="shared" si="5"/>
        <v>30021.800000000003</v>
      </c>
    </row>
    <row r="31" spans="1:17" ht="12.75">
      <c r="A31" s="23" t="s">
        <v>47</v>
      </c>
      <c r="B31" s="24" t="s">
        <v>45</v>
      </c>
      <c r="C31" s="23">
        <v>45044.948</v>
      </c>
      <c r="D31" s="14"/>
      <c r="E31" s="1">
        <f t="shared" si="0"/>
        <v>-1083.016637289885</v>
      </c>
      <c r="F31" s="1">
        <f t="shared" si="1"/>
        <v>-1083</v>
      </c>
      <c r="G31" s="1">
        <f t="shared" si="2"/>
        <v>-0.015480000001844019</v>
      </c>
      <c r="H31" s="1">
        <f t="shared" si="3"/>
        <v>-0.015480000001844019</v>
      </c>
      <c r="O31" s="1">
        <f t="shared" si="4"/>
        <v>-0.020905741098909164</v>
      </c>
      <c r="Q31" s="60">
        <f t="shared" si="5"/>
        <v>30026.447999999997</v>
      </c>
    </row>
    <row r="32" spans="1:21" ht="12.75">
      <c r="A32" s="1" t="s">
        <v>46</v>
      </c>
      <c r="C32" s="25">
        <v>45049.38</v>
      </c>
      <c r="D32" s="25"/>
      <c r="E32" s="1">
        <f t="shared" si="0"/>
        <v>-1078.2532995142083</v>
      </c>
      <c r="F32" s="1">
        <f t="shared" si="1"/>
        <v>-1078.5</v>
      </c>
      <c r="H32" s="1">
        <f t="shared" si="3"/>
        <v>0</v>
      </c>
      <c r="O32" s="1">
        <f t="shared" si="4"/>
        <v>-0.02084439497765913</v>
      </c>
      <c r="Q32" s="60">
        <f t="shared" si="5"/>
        <v>30030.879999999997</v>
      </c>
      <c r="U32" s="3">
        <v>0.22954000000027008</v>
      </c>
    </row>
    <row r="33" spans="1:17" ht="12.75">
      <c r="A33" s="23" t="s">
        <v>48</v>
      </c>
      <c r="B33" s="24" t="s">
        <v>45</v>
      </c>
      <c r="C33" s="23">
        <v>45053.316</v>
      </c>
      <c r="D33" s="14"/>
      <c r="E33" s="1">
        <f t="shared" si="0"/>
        <v>-1074.0230428614402</v>
      </c>
      <c r="F33" s="1">
        <f t="shared" si="1"/>
        <v>-1074</v>
      </c>
      <c r="G33" s="1">
        <f aca="true" t="shared" si="6" ref="G33:G56">+C33-(C$7+F33*C$8)</f>
        <v>-0.021439999996800907</v>
      </c>
      <c r="H33" s="1">
        <f t="shared" si="3"/>
        <v>-0.021439999996800907</v>
      </c>
      <c r="O33" s="1">
        <f t="shared" si="4"/>
        <v>-0.020783048856409095</v>
      </c>
      <c r="Q33" s="60">
        <f t="shared" si="5"/>
        <v>30034.816</v>
      </c>
    </row>
    <row r="34" spans="1:17" ht="12.75">
      <c r="A34" s="1" t="s">
        <v>46</v>
      </c>
      <c r="C34" s="25">
        <v>45053.32</v>
      </c>
      <c r="D34" s="25"/>
      <c r="E34" s="1">
        <f t="shared" si="0"/>
        <v>-1074.0187438201256</v>
      </c>
      <c r="F34" s="1">
        <f t="shared" si="1"/>
        <v>-1074</v>
      </c>
      <c r="G34" s="1">
        <f t="shared" si="6"/>
        <v>-0.017439999995986</v>
      </c>
      <c r="H34" s="1">
        <f t="shared" si="3"/>
        <v>-0.017439999995986</v>
      </c>
      <c r="O34" s="1">
        <f t="shared" si="4"/>
        <v>-0.020783048856409095</v>
      </c>
      <c r="Q34" s="60">
        <f t="shared" si="5"/>
        <v>30034.82</v>
      </c>
    </row>
    <row r="35" spans="1:17" ht="12.75">
      <c r="A35" s="23" t="s">
        <v>48</v>
      </c>
      <c r="B35" s="24" t="s">
        <v>45</v>
      </c>
      <c r="C35" s="23">
        <v>45079.373</v>
      </c>
      <c r="D35" s="14"/>
      <c r="E35" s="1">
        <f t="shared" si="0"/>
        <v>-1046.0180129831024</v>
      </c>
      <c r="F35" s="1">
        <f t="shared" si="1"/>
        <v>-1046</v>
      </c>
      <c r="G35" s="1">
        <f t="shared" si="6"/>
        <v>-0.01675999999861233</v>
      </c>
      <c r="I35" s="1">
        <f aca="true" t="shared" si="7" ref="I35:I40">+G35</f>
        <v>-0.01675999999861233</v>
      </c>
      <c r="O35" s="1">
        <f t="shared" si="4"/>
        <v>-0.020401339657520005</v>
      </c>
      <c r="Q35" s="60">
        <f t="shared" si="5"/>
        <v>30060.873</v>
      </c>
    </row>
    <row r="36" spans="1:17" ht="12.75">
      <c r="A36" s="23" t="s">
        <v>48</v>
      </c>
      <c r="B36" s="24" t="s">
        <v>45</v>
      </c>
      <c r="C36" s="23">
        <v>45414.323</v>
      </c>
      <c r="D36" s="14"/>
      <c r="E36" s="1">
        <f t="shared" si="0"/>
        <v>-686.0270409698644</v>
      </c>
      <c r="F36" s="1">
        <f t="shared" si="1"/>
        <v>-686</v>
      </c>
      <c r="G36" s="1">
        <f t="shared" si="6"/>
        <v>-0.02515999999741325</v>
      </c>
      <c r="I36" s="1">
        <f t="shared" si="7"/>
        <v>-0.02515999999741325</v>
      </c>
      <c r="O36" s="1">
        <f t="shared" si="4"/>
        <v>-0.015493649957517393</v>
      </c>
      <c r="Q36" s="60">
        <f t="shared" si="5"/>
        <v>30395.822999999997</v>
      </c>
    </row>
    <row r="37" spans="1:17" ht="12.75">
      <c r="A37" s="23" t="s">
        <v>47</v>
      </c>
      <c r="B37" s="24" t="s">
        <v>49</v>
      </c>
      <c r="C37" s="23">
        <v>45436.199</v>
      </c>
      <c r="D37" s="14"/>
      <c r="E37" s="1">
        <f t="shared" si="0"/>
        <v>-662.515584024759</v>
      </c>
      <c r="F37" s="1">
        <f t="shared" si="1"/>
        <v>-662.5</v>
      </c>
      <c r="G37" s="1">
        <f t="shared" si="6"/>
        <v>-0.01449999999749707</v>
      </c>
      <c r="I37" s="1">
        <f t="shared" si="7"/>
        <v>-0.01449999999749707</v>
      </c>
      <c r="O37" s="1">
        <f t="shared" si="4"/>
        <v>-0.015173286879878334</v>
      </c>
      <c r="Q37" s="60">
        <f t="shared" si="5"/>
        <v>30417.699</v>
      </c>
    </row>
    <row r="38" spans="1:17" ht="12.75">
      <c r="A38" s="23" t="s">
        <v>47</v>
      </c>
      <c r="B38" s="24" t="s">
        <v>45</v>
      </c>
      <c r="C38" s="23">
        <v>45436.655</v>
      </c>
      <c r="D38" s="14"/>
      <c r="E38" s="1">
        <f t="shared" si="0"/>
        <v>-662.0254933149891</v>
      </c>
      <c r="F38" s="1">
        <f t="shared" si="1"/>
        <v>-662</v>
      </c>
      <c r="G38" s="1">
        <f t="shared" si="6"/>
        <v>-0.023719999997410923</v>
      </c>
      <c r="I38" s="1">
        <f t="shared" si="7"/>
        <v>-0.023719999997410923</v>
      </c>
      <c r="O38" s="1">
        <f t="shared" si="4"/>
        <v>-0.015166470644183886</v>
      </c>
      <c r="Q38" s="60">
        <f t="shared" si="5"/>
        <v>30418.155</v>
      </c>
    </row>
    <row r="39" spans="1:17" ht="12.75">
      <c r="A39" s="23" t="s">
        <v>48</v>
      </c>
      <c r="B39" s="24" t="s">
        <v>45</v>
      </c>
      <c r="C39" s="23">
        <v>45440.368</v>
      </c>
      <c r="E39" s="1">
        <f t="shared" si="0"/>
        <v>-658.0349082154627</v>
      </c>
      <c r="F39" s="1">
        <f t="shared" si="1"/>
        <v>-658</v>
      </c>
      <c r="G39" s="1">
        <f t="shared" si="6"/>
        <v>-0.03247999999439344</v>
      </c>
      <c r="I39" s="1">
        <f t="shared" si="7"/>
        <v>-0.03247999999439344</v>
      </c>
      <c r="O39" s="1">
        <f t="shared" si="4"/>
        <v>-0.015111940758628302</v>
      </c>
      <c r="Q39" s="60">
        <f t="shared" si="5"/>
        <v>30421.868000000002</v>
      </c>
    </row>
    <row r="40" spans="1:17" ht="12.75">
      <c r="A40" s="23" t="s">
        <v>48</v>
      </c>
      <c r="B40" s="24" t="s">
        <v>45</v>
      </c>
      <c r="C40" s="23">
        <v>45815.392</v>
      </c>
      <c r="E40" s="1">
        <f t="shared" si="0"/>
        <v>-254.97399080004894</v>
      </c>
      <c r="F40" s="1">
        <f t="shared" si="1"/>
        <v>-255</v>
      </c>
      <c r="G40" s="1">
        <f t="shared" si="6"/>
        <v>0.02419999999983702</v>
      </c>
      <c r="I40" s="1">
        <f t="shared" si="7"/>
        <v>0.02419999999983702</v>
      </c>
      <c r="O40" s="1">
        <f t="shared" si="4"/>
        <v>-0.009618054788903155</v>
      </c>
      <c r="Q40" s="60">
        <f t="shared" si="5"/>
        <v>30796.892</v>
      </c>
    </row>
    <row r="41" spans="1:17" ht="12.75">
      <c r="A41" s="1" t="s">
        <v>50</v>
      </c>
      <c r="C41" s="25">
        <v>46052.63</v>
      </c>
      <c r="D41" s="25" t="s">
        <v>16</v>
      </c>
      <c r="E41" s="1">
        <f t="shared" si="0"/>
        <v>0</v>
      </c>
      <c r="F41" s="1">
        <f t="shared" si="1"/>
        <v>0</v>
      </c>
      <c r="G41" s="1">
        <f t="shared" si="6"/>
        <v>0</v>
      </c>
      <c r="H41" s="1">
        <f>+G41</f>
        <v>0</v>
      </c>
      <c r="O41" s="1">
        <f t="shared" si="4"/>
        <v>-0.006141774584734638</v>
      </c>
      <c r="Q41" s="60">
        <f t="shared" si="5"/>
        <v>31034.129999999997</v>
      </c>
    </row>
    <row r="42" spans="1:17" ht="12.75">
      <c r="A42" s="23" t="s">
        <v>48</v>
      </c>
      <c r="B42" s="24" t="s">
        <v>45</v>
      </c>
      <c r="C42" s="23">
        <v>46052.633</v>
      </c>
      <c r="E42" s="1">
        <f t="shared" si="0"/>
        <v>0.0032242809899070968</v>
      </c>
      <c r="F42" s="1">
        <f t="shared" si="1"/>
        <v>0</v>
      </c>
      <c r="G42" s="1">
        <f t="shared" si="6"/>
        <v>0.0030000000042491592</v>
      </c>
      <c r="I42" s="1">
        <f aca="true" t="shared" si="8" ref="I42:I47">+G42</f>
        <v>0.0030000000042491592</v>
      </c>
      <c r="O42" s="1">
        <f t="shared" si="4"/>
        <v>-0.006141774584734638</v>
      </c>
      <c r="Q42" s="60">
        <f t="shared" si="5"/>
        <v>31034.133</v>
      </c>
    </row>
    <row r="43" spans="1:17" ht="12.75">
      <c r="A43" s="23" t="s">
        <v>51</v>
      </c>
      <c r="B43" s="24" t="s">
        <v>45</v>
      </c>
      <c r="C43" s="23">
        <v>46109.393</v>
      </c>
      <c r="E43" s="1">
        <f t="shared" si="0"/>
        <v>61.00662052362217</v>
      </c>
      <c r="F43" s="1">
        <f t="shared" si="1"/>
        <v>61</v>
      </c>
      <c r="G43" s="1">
        <f t="shared" si="6"/>
        <v>0.006159999997180421</v>
      </c>
      <c r="I43" s="1">
        <f t="shared" si="8"/>
        <v>0.006159999997180421</v>
      </c>
      <c r="O43" s="1">
        <f t="shared" si="4"/>
        <v>-0.005310193830011974</v>
      </c>
      <c r="Q43" s="60">
        <f t="shared" si="5"/>
        <v>31090.892999999996</v>
      </c>
    </row>
    <row r="44" spans="1:17" ht="12.75">
      <c r="A44" s="23" t="s">
        <v>51</v>
      </c>
      <c r="B44" s="24" t="s">
        <v>45</v>
      </c>
      <c r="C44" s="23">
        <v>46135.44</v>
      </c>
      <c r="E44" s="1">
        <f t="shared" si="0"/>
        <v>89.00090279868121</v>
      </c>
      <c r="F44" s="1">
        <f t="shared" si="1"/>
        <v>89</v>
      </c>
      <c r="G44" s="1">
        <f t="shared" si="6"/>
        <v>0.0008400000078836456</v>
      </c>
      <c r="I44" s="1">
        <f t="shared" si="8"/>
        <v>0.0008400000078836456</v>
      </c>
      <c r="O44" s="1">
        <f t="shared" si="4"/>
        <v>-0.004928484631122882</v>
      </c>
      <c r="Q44" s="60">
        <f t="shared" si="5"/>
        <v>31116.940000000002</v>
      </c>
    </row>
    <row r="45" spans="1:17" ht="12.75">
      <c r="A45" s="23" t="s">
        <v>51</v>
      </c>
      <c r="B45" s="24" t="s">
        <v>45</v>
      </c>
      <c r="C45" s="23">
        <v>46136.374</v>
      </c>
      <c r="E45" s="1">
        <f t="shared" si="0"/>
        <v>90.00472894545167</v>
      </c>
      <c r="F45" s="1">
        <f t="shared" si="1"/>
        <v>90</v>
      </c>
      <c r="G45" s="1">
        <f t="shared" si="6"/>
        <v>0.0044000000052619725</v>
      </c>
      <c r="I45" s="1">
        <f t="shared" si="8"/>
        <v>0.0044000000052619725</v>
      </c>
      <c r="O45" s="1">
        <f t="shared" si="4"/>
        <v>-0.0049148521597339855</v>
      </c>
      <c r="Q45" s="60">
        <f t="shared" si="5"/>
        <v>31117.874000000003</v>
      </c>
    </row>
    <row r="46" spans="1:17" ht="12.75">
      <c r="A46" s="23" t="s">
        <v>51</v>
      </c>
      <c r="B46" s="24" t="s">
        <v>45</v>
      </c>
      <c r="C46" s="23">
        <v>46444.37</v>
      </c>
      <c r="E46" s="1">
        <f t="shared" si="0"/>
        <v>421.02661106573794</v>
      </c>
      <c r="F46" s="1">
        <f t="shared" si="1"/>
        <v>421</v>
      </c>
      <c r="G46" s="1">
        <f t="shared" si="6"/>
        <v>0.0247600000075181</v>
      </c>
      <c r="I46" s="1">
        <f t="shared" si="8"/>
        <v>0.0247600000075181</v>
      </c>
      <c r="O46" s="1">
        <f t="shared" si="4"/>
        <v>-0.0004025041300093615</v>
      </c>
      <c r="Q46" s="60">
        <f t="shared" si="5"/>
        <v>31425.870000000003</v>
      </c>
    </row>
    <row r="47" spans="1:17" ht="12.75">
      <c r="A47" s="23" t="s">
        <v>52</v>
      </c>
      <c r="B47" s="24" t="s">
        <v>45</v>
      </c>
      <c r="C47" s="23">
        <v>47206.366</v>
      </c>
      <c r="E47" s="1">
        <f t="shared" si="0"/>
        <v>1239.9896823008517</v>
      </c>
      <c r="F47" s="1">
        <f t="shared" si="1"/>
        <v>1240</v>
      </c>
      <c r="G47" s="1">
        <f t="shared" si="6"/>
        <v>-0.009599999997590203</v>
      </c>
      <c r="I47" s="1">
        <f t="shared" si="8"/>
        <v>-0.009599999997590203</v>
      </c>
      <c r="O47" s="1">
        <f t="shared" si="4"/>
        <v>0.01076248993749658</v>
      </c>
      <c r="Q47" s="60">
        <f t="shared" si="5"/>
        <v>32187.866</v>
      </c>
    </row>
    <row r="48" spans="1:17" ht="12.75">
      <c r="A48" s="26" t="s">
        <v>53</v>
      </c>
      <c r="B48" s="27" t="s">
        <v>45</v>
      </c>
      <c r="C48" s="28">
        <v>52550.9138</v>
      </c>
      <c r="D48" s="29">
        <v>0.0003</v>
      </c>
      <c r="E48" s="1">
        <f t="shared" si="0"/>
        <v>6984.097631228241</v>
      </c>
      <c r="F48" s="1">
        <f t="shared" si="1"/>
        <v>6984</v>
      </c>
      <c r="G48" s="1">
        <f t="shared" si="6"/>
        <v>0.09084000000439119</v>
      </c>
      <c r="J48" s="1">
        <f>+G48</f>
        <v>0.09084000000439119</v>
      </c>
      <c r="O48" s="1">
        <f t="shared" si="4"/>
        <v>0.08906740559531603</v>
      </c>
      <c r="Q48" s="60">
        <f t="shared" si="5"/>
        <v>37532.4138</v>
      </c>
    </row>
    <row r="49" spans="1:17" ht="12.75">
      <c r="A49" s="23" t="s">
        <v>54</v>
      </c>
      <c r="B49" s="24" t="s">
        <v>45</v>
      </c>
      <c r="C49" s="23">
        <v>52679.3175</v>
      </c>
      <c r="E49" s="1">
        <f t="shared" si="0"/>
        <v>7122.100834014014</v>
      </c>
      <c r="F49" s="1">
        <f t="shared" si="1"/>
        <v>7122</v>
      </c>
      <c r="G49" s="1">
        <f t="shared" si="6"/>
        <v>0.09382000000186963</v>
      </c>
      <c r="K49" s="1">
        <f aca="true" t="shared" si="9" ref="K49:K55">+G49</f>
        <v>0.09382000000186963</v>
      </c>
      <c r="O49" s="1">
        <f t="shared" si="4"/>
        <v>0.0909486866469837</v>
      </c>
      <c r="Q49" s="60">
        <f t="shared" si="5"/>
        <v>37660.8175</v>
      </c>
    </row>
    <row r="50" spans="1:17" ht="12.75">
      <c r="A50" s="23" t="s">
        <v>54</v>
      </c>
      <c r="B50" s="24" t="s">
        <v>49</v>
      </c>
      <c r="C50" s="23">
        <v>52679.7755</v>
      </c>
      <c r="E50" s="1">
        <f t="shared" si="0"/>
        <v>7122.59307424445</v>
      </c>
      <c r="F50" s="1">
        <f t="shared" si="1"/>
        <v>7122.5</v>
      </c>
      <c r="G50" s="1">
        <f t="shared" si="6"/>
        <v>0.08660000000963919</v>
      </c>
      <c r="K50" s="1">
        <f t="shared" si="9"/>
        <v>0.08660000000963919</v>
      </c>
      <c r="O50" s="1">
        <f t="shared" si="4"/>
        <v>0.09095550288267815</v>
      </c>
      <c r="Q50" s="60">
        <f t="shared" si="5"/>
        <v>37661.2755</v>
      </c>
    </row>
    <row r="51" spans="1:17" ht="12.75">
      <c r="A51" s="23" t="s">
        <v>54</v>
      </c>
      <c r="B51" s="24" t="s">
        <v>45</v>
      </c>
      <c r="C51" s="23">
        <v>52680.2469</v>
      </c>
      <c r="E51" s="1">
        <f t="shared" si="0"/>
        <v>7123.099716263274</v>
      </c>
      <c r="F51" s="1">
        <f t="shared" si="1"/>
        <v>7123</v>
      </c>
      <c r="G51" s="1">
        <f t="shared" si="6"/>
        <v>0.09277999999903841</v>
      </c>
      <c r="K51" s="1">
        <f t="shared" si="9"/>
        <v>0.09277999999903841</v>
      </c>
      <c r="O51" s="1">
        <f t="shared" si="4"/>
        <v>0.0909623191183726</v>
      </c>
      <c r="Q51" s="60">
        <f t="shared" si="5"/>
        <v>37661.7469</v>
      </c>
    </row>
    <row r="52" spans="1:17" ht="12.75">
      <c r="A52" s="23" t="s">
        <v>54</v>
      </c>
      <c r="B52" s="24" t="s">
        <v>45</v>
      </c>
      <c r="C52" s="23">
        <v>52681.176</v>
      </c>
      <c r="E52" s="1">
        <f t="shared" si="0"/>
        <v>7124.098276084435</v>
      </c>
      <c r="F52" s="1">
        <f t="shared" si="1"/>
        <v>7124</v>
      </c>
      <c r="G52" s="1">
        <f t="shared" si="6"/>
        <v>0.09144000000378583</v>
      </c>
      <c r="K52" s="1">
        <f t="shared" si="9"/>
        <v>0.09144000000378583</v>
      </c>
      <c r="O52" s="1">
        <f t="shared" si="4"/>
        <v>0.09097595158976149</v>
      </c>
      <c r="Q52" s="60">
        <f t="shared" si="5"/>
        <v>37662.676</v>
      </c>
    </row>
    <row r="53" spans="1:17" ht="12.75">
      <c r="A53" s="23" t="s">
        <v>54</v>
      </c>
      <c r="B53" s="24" t="s">
        <v>49</v>
      </c>
      <c r="C53" s="23">
        <v>52681.6333</v>
      </c>
      <c r="E53" s="1">
        <f t="shared" si="0"/>
        <v>7124.589763982636</v>
      </c>
      <c r="F53" s="1">
        <f t="shared" si="1"/>
        <v>7124.5</v>
      </c>
      <c r="G53" s="1">
        <f t="shared" si="6"/>
        <v>0.08352000000013504</v>
      </c>
      <c r="K53" s="1">
        <f t="shared" si="9"/>
        <v>0.08352000000013504</v>
      </c>
      <c r="O53" s="1">
        <f t="shared" si="4"/>
        <v>0.09098276782545595</v>
      </c>
      <c r="Q53" s="60">
        <f t="shared" si="5"/>
        <v>37663.1333</v>
      </c>
    </row>
    <row r="54" spans="1:17" ht="12.75">
      <c r="A54" s="23" t="s">
        <v>54</v>
      </c>
      <c r="B54" s="24" t="s">
        <v>45</v>
      </c>
      <c r="C54" s="23">
        <v>52688.6214</v>
      </c>
      <c r="E54" s="1">
        <f t="shared" si="0"/>
        <v>7132.100296633857</v>
      </c>
      <c r="F54" s="1">
        <f t="shared" si="1"/>
        <v>7132</v>
      </c>
      <c r="G54" s="1">
        <f t="shared" si="6"/>
        <v>0.09332000000722473</v>
      </c>
      <c r="K54" s="1">
        <f t="shared" si="9"/>
        <v>0.09332000000722473</v>
      </c>
      <c r="O54" s="1">
        <f t="shared" si="4"/>
        <v>0.09108501136087266</v>
      </c>
      <c r="Q54" s="60">
        <f t="shared" si="5"/>
        <v>37670.1214</v>
      </c>
    </row>
    <row r="55" spans="1:17" ht="12.75">
      <c r="A55" s="23" t="s">
        <v>54</v>
      </c>
      <c r="B55" s="24" t="s">
        <v>45</v>
      </c>
      <c r="C55" s="23">
        <v>52690.478</v>
      </c>
      <c r="E55" s="1">
        <f t="shared" si="0"/>
        <v>7134.0956966596505</v>
      </c>
      <c r="F55" s="1">
        <f t="shared" si="1"/>
        <v>7134</v>
      </c>
      <c r="G55" s="1">
        <f t="shared" si="6"/>
        <v>0.08904000000620726</v>
      </c>
      <c r="K55" s="1">
        <f t="shared" si="9"/>
        <v>0.08904000000620726</v>
      </c>
      <c r="O55" s="1">
        <f t="shared" si="4"/>
        <v>0.09111227630365046</v>
      </c>
      <c r="Q55" s="60">
        <f t="shared" si="5"/>
        <v>37671.978</v>
      </c>
    </row>
    <row r="56" spans="1:17" ht="12.75">
      <c r="A56" s="30" t="s">
        <v>55</v>
      </c>
      <c r="B56" s="31"/>
      <c r="C56" s="32">
        <v>53387.3898</v>
      </c>
      <c r="D56" s="32">
        <v>0.0004</v>
      </c>
      <c r="E56" s="1">
        <f t="shared" si="0"/>
        <v>7883.108851726064</v>
      </c>
      <c r="F56" s="1">
        <f t="shared" si="1"/>
        <v>7883</v>
      </c>
      <c r="G56" s="1">
        <f t="shared" si="6"/>
        <v>0.10128000000258908</v>
      </c>
      <c r="J56" s="1">
        <f>+G56</f>
        <v>0.10128000000258908</v>
      </c>
      <c r="O56" s="1">
        <f t="shared" si="4"/>
        <v>0.10132299737393366</v>
      </c>
      <c r="Q56" s="60">
        <f t="shared" si="5"/>
        <v>38368.8898</v>
      </c>
    </row>
    <row r="57" spans="1:21" ht="12.75">
      <c r="A57" s="33" t="s">
        <v>56</v>
      </c>
      <c r="B57" s="34" t="s">
        <v>45</v>
      </c>
      <c r="C57" s="33">
        <v>53458.61587</v>
      </c>
      <c r="D57" s="33">
        <v>0.0008</v>
      </c>
      <c r="E57" s="1">
        <f t="shared" si="0"/>
        <v>7959.659806113241</v>
      </c>
      <c r="F57" s="1">
        <f t="shared" si="1"/>
        <v>7959.5</v>
      </c>
      <c r="O57" s="1">
        <f t="shared" si="4"/>
        <v>0.10236588143518423</v>
      </c>
      <c r="Q57" s="60">
        <f t="shared" si="5"/>
        <v>38440.11587</v>
      </c>
      <c r="U57" s="3">
        <v>0.14869000000180677</v>
      </c>
    </row>
    <row r="58" spans="1:21" ht="12.75">
      <c r="A58" s="33" t="s">
        <v>56</v>
      </c>
      <c r="B58" s="34" t="s">
        <v>45</v>
      </c>
      <c r="C58" s="33">
        <v>53673.4898</v>
      </c>
      <c r="D58" s="33">
        <v>0.0031</v>
      </c>
      <c r="E58" s="1">
        <f t="shared" si="0"/>
        <v>8190.597781694688</v>
      </c>
      <c r="F58" s="1">
        <f t="shared" si="1"/>
        <v>8190.5</v>
      </c>
      <c r="O58" s="1">
        <f t="shared" si="4"/>
        <v>0.10551498232601923</v>
      </c>
      <c r="Q58" s="60">
        <f t="shared" si="5"/>
        <v>38654.9898</v>
      </c>
      <c r="U58" s="3">
        <v>0.09098000000813045</v>
      </c>
    </row>
    <row r="59" spans="1:17" ht="12.75">
      <c r="A59" s="35" t="s">
        <v>57</v>
      </c>
      <c r="B59" s="36"/>
      <c r="C59" s="32">
        <v>53716.7693</v>
      </c>
      <c r="D59" s="29">
        <v>0.0003</v>
      </c>
      <c r="E59" s="1">
        <f t="shared" si="0"/>
        <v>8237.112871329697</v>
      </c>
      <c r="F59" s="1">
        <f t="shared" si="1"/>
        <v>8237</v>
      </c>
      <c r="G59" s="1">
        <f aca="true" t="shared" si="10" ref="G59:G65">+C59-(C$7+F59*C$8)</f>
        <v>0.10502000000269618</v>
      </c>
      <c r="K59" s="1">
        <f aca="true" t="shared" si="11" ref="K59:K66">+G59</f>
        <v>0.10502000000269618</v>
      </c>
      <c r="O59" s="1">
        <f t="shared" si="4"/>
        <v>0.10614889224560291</v>
      </c>
      <c r="Q59" s="60">
        <f t="shared" si="5"/>
        <v>38698.2693</v>
      </c>
    </row>
    <row r="60" spans="1:17" ht="12.75">
      <c r="A60" s="33" t="s">
        <v>56</v>
      </c>
      <c r="B60" s="34" t="s">
        <v>45</v>
      </c>
      <c r="C60" s="33">
        <v>53750.26551</v>
      </c>
      <c r="D60" s="33">
        <v>0.0003</v>
      </c>
      <c r="E60" s="1">
        <f t="shared" si="0"/>
        <v>8273.113268991016</v>
      </c>
      <c r="F60" s="1">
        <f t="shared" si="1"/>
        <v>8273</v>
      </c>
      <c r="G60" s="1">
        <f t="shared" si="10"/>
        <v>0.10538999999698717</v>
      </c>
      <c r="K60" s="1">
        <f t="shared" si="11"/>
        <v>0.10538999999698717</v>
      </c>
      <c r="O60" s="1">
        <f t="shared" si="4"/>
        <v>0.10663966121560316</v>
      </c>
      <c r="Q60" s="60">
        <f t="shared" si="5"/>
        <v>38731.76551</v>
      </c>
    </row>
    <row r="61" spans="1:17" ht="12.75">
      <c r="A61" s="32" t="s">
        <v>58</v>
      </c>
      <c r="B61" s="37" t="s">
        <v>45</v>
      </c>
      <c r="C61" s="32">
        <v>54055.4514</v>
      </c>
      <c r="D61" s="32">
        <v>0.0039</v>
      </c>
      <c r="E61" s="1">
        <f t="shared" si="0"/>
        <v>8601.11495636473</v>
      </c>
      <c r="F61" s="1">
        <f t="shared" si="1"/>
        <v>8601</v>
      </c>
      <c r="G61" s="1">
        <f t="shared" si="10"/>
        <v>0.1069599999973434</v>
      </c>
      <c r="K61" s="1">
        <f t="shared" si="11"/>
        <v>0.1069599999973434</v>
      </c>
      <c r="O61" s="1">
        <f t="shared" si="4"/>
        <v>0.1111111118311611</v>
      </c>
      <c r="Q61" s="60">
        <f t="shared" si="5"/>
        <v>39036.9514</v>
      </c>
    </row>
    <row r="62" spans="1:17" ht="12.75">
      <c r="A62" s="32" t="s">
        <v>59</v>
      </c>
      <c r="B62" s="38" t="s">
        <v>45</v>
      </c>
      <c r="C62" s="32">
        <v>54862.6214</v>
      </c>
      <c r="D62" s="32">
        <v>0.002</v>
      </c>
      <c r="E62" s="1">
        <f t="shared" si="0"/>
        <v>9468.629250677106</v>
      </c>
      <c r="F62" s="1">
        <f t="shared" si="1"/>
        <v>9468.5</v>
      </c>
      <c r="G62" s="1">
        <f t="shared" si="10"/>
        <v>0.12026000000332715</v>
      </c>
      <c r="K62" s="1">
        <f t="shared" si="11"/>
        <v>0.12026000000332715</v>
      </c>
      <c r="O62" s="1">
        <f t="shared" si="4"/>
        <v>0.1229372807610285</v>
      </c>
      <c r="Q62" s="60">
        <f t="shared" si="5"/>
        <v>39844.1214</v>
      </c>
    </row>
    <row r="63" spans="1:17" ht="12.75">
      <c r="A63" s="26" t="s">
        <v>60</v>
      </c>
      <c r="B63" s="39" t="s">
        <v>45</v>
      </c>
      <c r="C63" s="26">
        <v>55139.8956</v>
      </c>
      <c r="D63" s="26">
        <v>0.0005</v>
      </c>
      <c r="E63" s="1">
        <f t="shared" si="0"/>
        <v>9766.632560938917</v>
      </c>
      <c r="F63" s="1">
        <f t="shared" si="1"/>
        <v>9766.5</v>
      </c>
      <c r="G63" s="1">
        <f t="shared" si="10"/>
        <v>0.12334000000555534</v>
      </c>
      <c r="K63" s="1">
        <f t="shared" si="11"/>
        <v>0.12334000000555534</v>
      </c>
      <c r="O63" s="1">
        <f t="shared" si="4"/>
        <v>0.12699975723491955</v>
      </c>
      <c r="Q63" s="60">
        <f t="shared" si="5"/>
        <v>40121.3956</v>
      </c>
    </row>
    <row r="64" spans="1:17" ht="12.75">
      <c r="A64" s="40" t="s">
        <v>61</v>
      </c>
      <c r="B64" s="41" t="s">
        <v>45</v>
      </c>
      <c r="C64" s="42">
        <v>55527.8925</v>
      </c>
      <c r="D64" s="42">
        <v>0.0005</v>
      </c>
      <c r="E64" s="1">
        <f t="shared" si="0"/>
        <v>10183.636236619239</v>
      </c>
      <c r="F64" s="1">
        <f t="shared" si="1"/>
        <v>10183.5</v>
      </c>
      <c r="G64" s="1">
        <f t="shared" si="10"/>
        <v>0.12676000000647036</v>
      </c>
      <c r="K64" s="1">
        <f t="shared" si="11"/>
        <v>0.12676000000647036</v>
      </c>
      <c r="O64" s="1">
        <f t="shared" si="4"/>
        <v>0.13268449780408925</v>
      </c>
      <c r="Q64" s="60">
        <f t="shared" si="5"/>
        <v>40509.3925</v>
      </c>
    </row>
    <row r="65" spans="1:17" ht="12.75">
      <c r="A65" s="43" t="s">
        <v>62</v>
      </c>
      <c r="B65" s="44" t="s">
        <v>45</v>
      </c>
      <c r="C65" s="43">
        <v>56725.4061</v>
      </c>
      <c r="D65" s="43">
        <v>0.0039</v>
      </c>
      <c r="E65" s="1">
        <f t="shared" si="0"/>
        <v>11470.676346674694</v>
      </c>
      <c r="F65" s="1">
        <f t="shared" si="1"/>
        <v>11470.5</v>
      </c>
      <c r="G65" s="1">
        <f t="shared" si="10"/>
        <v>0.1640800000022864</v>
      </c>
      <c r="K65" s="1">
        <f t="shared" si="11"/>
        <v>0.1640800000022864</v>
      </c>
      <c r="O65" s="1">
        <f t="shared" si="4"/>
        <v>0.1502294884815986</v>
      </c>
      <c r="Q65" s="60">
        <f t="shared" si="5"/>
        <v>41706.9061</v>
      </c>
    </row>
    <row r="66" spans="1:17" ht="12.75">
      <c r="A66" s="45" t="s">
        <v>63</v>
      </c>
      <c r="B66" s="46" t="s">
        <v>49</v>
      </c>
      <c r="C66" s="45">
        <v>57385.0756</v>
      </c>
      <c r="D66" s="45" t="s">
        <v>64</v>
      </c>
      <c r="E66" s="1">
        <f>+(C66-C$7)/C$8</f>
        <v>12179.662955160997</v>
      </c>
      <c r="F66" s="1">
        <f t="shared" si="1"/>
        <v>12179.5</v>
      </c>
      <c r="G66" s="1">
        <f>+C66-(C$7+F66*C$8)</f>
        <v>0.15161999999691034</v>
      </c>
      <c r="K66" s="1">
        <f t="shared" si="11"/>
        <v>0.15161999999691034</v>
      </c>
      <c r="O66" s="1">
        <f>+C$11+C$12*$F66</f>
        <v>0.15989491069632594</v>
      </c>
      <c r="Q66" s="60">
        <f>+C66-15018.5</f>
        <v>42366.5756</v>
      </c>
    </row>
    <row r="67" spans="1:17" ht="12.75">
      <c r="A67" s="47" t="s">
        <v>65</v>
      </c>
      <c r="B67" s="46" t="s">
        <v>45</v>
      </c>
      <c r="C67" s="45">
        <v>58178.28494999977</v>
      </c>
      <c r="D67" s="45">
        <v>0.0005</v>
      </c>
      <c r="E67" s="1">
        <f>+(C67-C$7)/C$8</f>
        <v>13032.17289669379</v>
      </c>
      <c r="F67" s="1">
        <f>ROUND(2*E67,0)/2</f>
        <v>13032</v>
      </c>
      <c r="G67" s="1">
        <f>+C67-(C$7+F67*C$8)</f>
        <v>0.16086999977414962</v>
      </c>
      <c r="K67" s="1">
        <f>+G67</f>
        <v>0.16086999977414962</v>
      </c>
      <c r="O67" s="1">
        <f>+C$11+C$12*$F67</f>
        <v>0.17151659255535992</v>
      </c>
      <c r="Q67" s="60">
        <f>+C67-15018.5</f>
        <v>43159.78494999977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19.7109375" style="25" customWidth="1"/>
    <col min="2" max="2" width="4.421875" style="0" customWidth="1"/>
    <col min="3" max="3" width="12.7109375" style="25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5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48" t="s">
        <v>66</v>
      </c>
      <c r="I1" s="49" t="s">
        <v>67</v>
      </c>
      <c r="J1" s="50" t="s">
        <v>36</v>
      </c>
    </row>
    <row r="2" spans="9:10" ht="12.75">
      <c r="I2" s="51" t="s">
        <v>68</v>
      </c>
      <c r="J2" s="52" t="s">
        <v>35</v>
      </c>
    </row>
    <row r="3" spans="1:10" ht="12.75">
      <c r="A3" s="53" t="s">
        <v>69</v>
      </c>
      <c r="I3" s="51" t="s">
        <v>70</v>
      </c>
      <c r="J3" s="52" t="s">
        <v>33</v>
      </c>
    </row>
    <row r="4" spans="9:10" ht="12.75">
      <c r="I4" s="51" t="s">
        <v>71</v>
      </c>
      <c r="J4" s="52" t="s">
        <v>33</v>
      </c>
    </row>
    <row r="5" spans="9:10" ht="12.75">
      <c r="I5" s="54" t="s">
        <v>64</v>
      </c>
      <c r="J5" s="55" t="s">
        <v>34</v>
      </c>
    </row>
    <row r="11" spans="1:16" ht="12.75" customHeight="1">
      <c r="A11" s="25" t="str">
        <f aca="true" t="shared" si="0" ref="A11:A50">P11</f>
        <v> JBAA 96.99 </v>
      </c>
      <c r="B11" s="14" t="str">
        <f aca="true" t="shared" si="1" ref="B11:B50">IF(H11=INT(H11),"I","II")</f>
        <v>I</v>
      </c>
      <c r="C11" s="25">
        <f aca="true" t="shared" si="2" ref="C11:C50">1*G11</f>
        <v>45014.27</v>
      </c>
      <c r="D11" t="str">
        <f aca="true" t="shared" si="3" ref="D11:D50">VLOOKUP(F11,I$1:J$5,2,FALSE)</f>
        <v>vis</v>
      </c>
      <c r="E11">
        <f>VLOOKUP(C11,A!C$21:E$973,3,FALSE)</f>
        <v>-1115.9881346459745</v>
      </c>
      <c r="F11" s="14" t="s">
        <v>64</v>
      </c>
      <c r="G11" t="str">
        <f aca="true" t="shared" si="4" ref="G11:G50">MID(I11,3,LEN(I11)-3)</f>
        <v>45014.27</v>
      </c>
      <c r="H11" s="25">
        <f aca="true" t="shared" si="5" ref="H11:H50">1*K11</f>
        <v>-1116</v>
      </c>
      <c r="I11" s="56" t="s">
        <v>72</v>
      </c>
      <c r="J11" s="57" t="s">
        <v>73</v>
      </c>
      <c r="K11" s="56">
        <v>-1116</v>
      </c>
      <c r="L11" s="56" t="s">
        <v>74</v>
      </c>
      <c r="M11" s="57" t="s">
        <v>75</v>
      </c>
      <c r="N11" s="57"/>
      <c r="O11" s="58" t="s">
        <v>76</v>
      </c>
      <c r="P11" s="58" t="s">
        <v>77</v>
      </c>
    </row>
    <row r="12" spans="1:16" ht="12.75" customHeight="1">
      <c r="A12" s="25" t="str">
        <f t="shared" si="0"/>
        <v> JBAA 96.99 </v>
      </c>
      <c r="B12" s="14" t="str">
        <f t="shared" si="1"/>
        <v>I</v>
      </c>
      <c r="C12" s="25">
        <f t="shared" si="2"/>
        <v>45040.3</v>
      </c>
      <c r="D12" t="str">
        <f t="shared" si="3"/>
        <v>vis</v>
      </c>
      <c r="E12">
        <f>VLOOKUP(C12,A!C$21:E$973,3,FALSE)</f>
        <v>-1088.0121232964989</v>
      </c>
      <c r="F12" s="14" t="s">
        <v>64</v>
      </c>
      <c r="G12" t="str">
        <f t="shared" si="4"/>
        <v>45040.30</v>
      </c>
      <c r="H12" s="25">
        <f t="shared" si="5"/>
        <v>-1088</v>
      </c>
      <c r="I12" s="56" t="s">
        <v>78</v>
      </c>
      <c r="J12" s="57" t="s">
        <v>79</v>
      </c>
      <c r="K12" s="56">
        <v>-1088</v>
      </c>
      <c r="L12" s="56" t="s">
        <v>80</v>
      </c>
      <c r="M12" s="57" t="s">
        <v>75</v>
      </c>
      <c r="N12" s="57"/>
      <c r="O12" s="58" t="s">
        <v>76</v>
      </c>
      <c r="P12" s="58" t="s">
        <v>77</v>
      </c>
    </row>
    <row r="13" spans="1:16" ht="12.75" customHeight="1">
      <c r="A13" s="25" t="str">
        <f t="shared" si="0"/>
        <v>IBVS 5378 </v>
      </c>
      <c r="B13" s="14" t="str">
        <f t="shared" si="1"/>
        <v>I</v>
      </c>
      <c r="C13" s="25">
        <f t="shared" si="2"/>
        <v>52550.9138</v>
      </c>
      <c r="D13" t="str">
        <f t="shared" si="3"/>
        <v>vis</v>
      </c>
      <c r="E13">
        <f>VLOOKUP(C13,A!C$21:E$973,3,FALSE)</f>
        <v>6984.097631228241</v>
      </c>
      <c r="F13" s="14" t="s">
        <v>64</v>
      </c>
      <c r="G13" t="str">
        <f t="shared" si="4"/>
        <v>52550.9138</v>
      </c>
      <c r="H13" s="25">
        <f t="shared" si="5"/>
        <v>6984</v>
      </c>
      <c r="I13" s="56" t="s">
        <v>81</v>
      </c>
      <c r="J13" s="57" t="s">
        <v>82</v>
      </c>
      <c r="K13" s="56">
        <v>6984</v>
      </c>
      <c r="L13" s="56" t="s">
        <v>83</v>
      </c>
      <c r="M13" s="57" t="s">
        <v>84</v>
      </c>
      <c r="N13" s="57" t="s">
        <v>85</v>
      </c>
      <c r="O13" s="58" t="s">
        <v>86</v>
      </c>
      <c r="P13" s="59" t="s">
        <v>87</v>
      </c>
    </row>
    <row r="14" spans="1:16" ht="12.75" customHeight="1">
      <c r="A14" s="25" t="str">
        <f t="shared" si="0"/>
        <v>BAVM 178 </v>
      </c>
      <c r="B14" s="14" t="str">
        <f t="shared" si="1"/>
        <v>I</v>
      </c>
      <c r="C14" s="25">
        <f t="shared" si="2"/>
        <v>53387.3898</v>
      </c>
      <c r="D14" t="str">
        <f t="shared" si="3"/>
        <v>vis</v>
      </c>
      <c r="E14">
        <f>VLOOKUP(C14,A!C$21:E$973,3,FALSE)</f>
        <v>7883.108851726064</v>
      </c>
      <c r="F14" s="14" t="s">
        <v>64</v>
      </c>
      <c r="G14" t="str">
        <f t="shared" si="4"/>
        <v>53387.3898</v>
      </c>
      <c r="H14" s="25">
        <f t="shared" si="5"/>
        <v>7883</v>
      </c>
      <c r="I14" s="56" t="s">
        <v>88</v>
      </c>
      <c r="J14" s="57" t="s">
        <v>89</v>
      </c>
      <c r="K14" s="56">
        <v>7883</v>
      </c>
      <c r="L14" s="56" t="s">
        <v>90</v>
      </c>
      <c r="M14" s="57" t="s">
        <v>91</v>
      </c>
      <c r="N14" s="57" t="s">
        <v>92</v>
      </c>
      <c r="O14" s="58" t="s">
        <v>93</v>
      </c>
      <c r="P14" s="59" t="s">
        <v>94</v>
      </c>
    </row>
    <row r="15" spans="1:16" ht="12.75" customHeight="1">
      <c r="A15" s="25" t="str">
        <f t="shared" si="0"/>
        <v>IBVS 5672 </v>
      </c>
      <c r="B15" s="14" t="str">
        <f t="shared" si="1"/>
        <v>I</v>
      </c>
      <c r="C15" s="25">
        <f t="shared" si="2"/>
        <v>53716.7693</v>
      </c>
      <c r="D15" t="str">
        <f t="shared" si="3"/>
        <v>vis</v>
      </c>
      <c r="E15">
        <f>VLOOKUP(C15,A!C$21:E$973,3,FALSE)</f>
        <v>8237.112871329697</v>
      </c>
      <c r="F15" s="14" t="s">
        <v>64</v>
      </c>
      <c r="G15" t="str">
        <f t="shared" si="4"/>
        <v>53716.7693</v>
      </c>
      <c r="H15" s="25">
        <f t="shared" si="5"/>
        <v>8237</v>
      </c>
      <c r="I15" s="56" t="s">
        <v>95</v>
      </c>
      <c r="J15" s="57" t="s">
        <v>96</v>
      </c>
      <c r="K15" s="56" t="s">
        <v>97</v>
      </c>
      <c r="L15" s="56" t="s">
        <v>98</v>
      </c>
      <c r="M15" s="57" t="s">
        <v>84</v>
      </c>
      <c r="N15" s="57" t="s">
        <v>85</v>
      </c>
      <c r="O15" s="58" t="s">
        <v>99</v>
      </c>
      <c r="P15" s="59" t="s">
        <v>100</v>
      </c>
    </row>
    <row r="16" spans="1:16" ht="12.75" customHeight="1">
      <c r="A16" s="25" t="str">
        <f t="shared" si="0"/>
        <v>OEJV 0074 </v>
      </c>
      <c r="B16" s="14" t="str">
        <f t="shared" si="1"/>
        <v>I</v>
      </c>
      <c r="C16" s="25">
        <f t="shared" si="2"/>
        <v>53750.26551</v>
      </c>
      <c r="D16" t="str">
        <f t="shared" si="3"/>
        <v>vis</v>
      </c>
      <c r="E16">
        <f>VLOOKUP(C16,A!C$21:E$973,3,FALSE)</f>
        <v>8273.113268991016</v>
      </c>
      <c r="F16" s="14" t="s">
        <v>64</v>
      </c>
      <c r="G16" t="str">
        <f t="shared" si="4"/>
        <v>53750.26551</v>
      </c>
      <c r="H16" s="25">
        <f t="shared" si="5"/>
        <v>8273</v>
      </c>
      <c r="I16" s="56" t="s">
        <v>101</v>
      </c>
      <c r="J16" s="57" t="s">
        <v>102</v>
      </c>
      <c r="K16" s="56" t="s">
        <v>103</v>
      </c>
      <c r="L16" s="56" t="s">
        <v>104</v>
      </c>
      <c r="M16" s="57" t="s">
        <v>91</v>
      </c>
      <c r="N16" s="57" t="s">
        <v>105</v>
      </c>
      <c r="O16" s="58" t="s">
        <v>106</v>
      </c>
      <c r="P16" s="59" t="s">
        <v>107</v>
      </c>
    </row>
    <row r="17" spans="1:16" ht="12.75" customHeight="1">
      <c r="A17" s="25" t="str">
        <f t="shared" si="0"/>
        <v>BAVM 183 </v>
      </c>
      <c r="B17" s="14" t="str">
        <f t="shared" si="1"/>
        <v>I</v>
      </c>
      <c r="C17" s="25">
        <f t="shared" si="2"/>
        <v>54055.4514</v>
      </c>
      <c r="D17" t="str">
        <f t="shared" si="3"/>
        <v>vis</v>
      </c>
      <c r="E17">
        <f>VLOOKUP(C17,A!C$21:E$973,3,FALSE)</f>
        <v>8601.11495636473</v>
      </c>
      <c r="F17" s="14" t="s">
        <v>64</v>
      </c>
      <c r="G17" t="str">
        <f t="shared" si="4"/>
        <v>54055.4514</v>
      </c>
      <c r="H17" s="25">
        <f t="shared" si="5"/>
        <v>8601</v>
      </c>
      <c r="I17" s="56" t="s">
        <v>108</v>
      </c>
      <c r="J17" s="57" t="s">
        <v>109</v>
      </c>
      <c r="K17" s="56" t="s">
        <v>110</v>
      </c>
      <c r="L17" s="56" t="s">
        <v>111</v>
      </c>
      <c r="M17" s="57" t="s">
        <v>91</v>
      </c>
      <c r="N17" s="57" t="s">
        <v>112</v>
      </c>
      <c r="O17" s="58" t="s">
        <v>113</v>
      </c>
      <c r="P17" s="59" t="s">
        <v>114</v>
      </c>
    </row>
    <row r="18" spans="1:16" ht="12.75" customHeight="1">
      <c r="A18" s="25" t="str">
        <f t="shared" si="0"/>
        <v>IBVS 5894 </v>
      </c>
      <c r="B18" s="14" t="str">
        <f t="shared" si="1"/>
        <v>II</v>
      </c>
      <c r="C18" s="25">
        <f t="shared" si="2"/>
        <v>54862.6214</v>
      </c>
      <c r="D18" t="str">
        <f t="shared" si="3"/>
        <v>vis</v>
      </c>
      <c r="E18">
        <f>VLOOKUP(C18,A!C$21:E$973,3,FALSE)</f>
        <v>9468.629250677106</v>
      </c>
      <c r="F18" s="14" t="s">
        <v>64</v>
      </c>
      <c r="G18" t="str">
        <f t="shared" si="4"/>
        <v>54862.6214</v>
      </c>
      <c r="H18" s="25">
        <f t="shared" si="5"/>
        <v>9468.5</v>
      </c>
      <c r="I18" s="56" t="s">
        <v>115</v>
      </c>
      <c r="J18" s="57" t="s">
        <v>116</v>
      </c>
      <c r="K18" s="56" t="s">
        <v>117</v>
      </c>
      <c r="L18" s="56" t="s">
        <v>118</v>
      </c>
      <c r="M18" s="57" t="s">
        <v>91</v>
      </c>
      <c r="N18" s="57" t="s">
        <v>64</v>
      </c>
      <c r="O18" s="58" t="s">
        <v>119</v>
      </c>
      <c r="P18" s="59" t="s">
        <v>120</v>
      </c>
    </row>
    <row r="19" spans="1:16" ht="12.75" customHeight="1">
      <c r="A19" s="25" t="str">
        <f t="shared" si="0"/>
        <v>IBVS 5920 </v>
      </c>
      <c r="B19" s="14" t="str">
        <f t="shared" si="1"/>
        <v>II</v>
      </c>
      <c r="C19" s="25">
        <f t="shared" si="2"/>
        <v>55139.8956</v>
      </c>
      <c r="D19" t="str">
        <f t="shared" si="3"/>
        <v>vis</v>
      </c>
      <c r="E19">
        <f>VLOOKUP(C19,A!C$21:E$973,3,FALSE)</f>
        <v>9766.632560938917</v>
      </c>
      <c r="F19" s="14" t="s">
        <v>64</v>
      </c>
      <c r="G19" t="str">
        <f t="shared" si="4"/>
        <v>55139.8956</v>
      </c>
      <c r="H19" s="25">
        <f t="shared" si="5"/>
        <v>9766.5</v>
      </c>
      <c r="I19" s="56" t="s">
        <v>121</v>
      </c>
      <c r="J19" s="57" t="s">
        <v>122</v>
      </c>
      <c r="K19" s="56" t="s">
        <v>123</v>
      </c>
      <c r="L19" s="56" t="s">
        <v>124</v>
      </c>
      <c r="M19" s="57" t="s">
        <v>91</v>
      </c>
      <c r="N19" s="57" t="s">
        <v>64</v>
      </c>
      <c r="O19" s="58" t="s">
        <v>119</v>
      </c>
      <c r="P19" s="59" t="s">
        <v>125</v>
      </c>
    </row>
    <row r="20" spans="1:16" ht="12.75" customHeight="1">
      <c r="A20" s="25" t="str">
        <f t="shared" si="0"/>
        <v>IBVS 5960 </v>
      </c>
      <c r="B20" s="14" t="str">
        <f t="shared" si="1"/>
        <v>II</v>
      </c>
      <c r="C20" s="25">
        <f t="shared" si="2"/>
        <v>55527.8925</v>
      </c>
      <c r="D20" t="str">
        <f t="shared" si="3"/>
        <v>vis</v>
      </c>
      <c r="E20">
        <f>VLOOKUP(C20,A!C$21:E$973,3,FALSE)</f>
        <v>10183.636236619239</v>
      </c>
      <c r="F20" s="14" t="s">
        <v>64</v>
      </c>
      <c r="G20" t="str">
        <f t="shared" si="4"/>
        <v>55527.8925</v>
      </c>
      <c r="H20" s="25">
        <f t="shared" si="5"/>
        <v>10183.5</v>
      </c>
      <c r="I20" s="56" t="s">
        <v>126</v>
      </c>
      <c r="J20" s="57" t="s">
        <v>127</v>
      </c>
      <c r="K20" s="56" t="s">
        <v>128</v>
      </c>
      <c r="L20" s="56" t="s">
        <v>129</v>
      </c>
      <c r="M20" s="57" t="s">
        <v>91</v>
      </c>
      <c r="N20" s="57" t="s">
        <v>64</v>
      </c>
      <c r="O20" s="58" t="s">
        <v>119</v>
      </c>
      <c r="P20" s="59" t="s">
        <v>130</v>
      </c>
    </row>
    <row r="21" spans="1:16" ht="12.75" customHeight="1">
      <c r="A21" s="25" t="str">
        <f t="shared" si="0"/>
        <v>BAVM 238 </v>
      </c>
      <c r="B21" s="14" t="str">
        <f t="shared" si="1"/>
        <v>II</v>
      </c>
      <c r="C21" s="25">
        <f t="shared" si="2"/>
        <v>56725.4061</v>
      </c>
      <c r="D21" t="str">
        <f t="shared" si="3"/>
        <v>vis</v>
      </c>
      <c r="E21">
        <f>VLOOKUP(C21,A!C$21:E$973,3,FALSE)</f>
        <v>11470.676346674694</v>
      </c>
      <c r="F21" s="14" t="s">
        <v>64</v>
      </c>
      <c r="G21" t="str">
        <f t="shared" si="4"/>
        <v>56725.4061</v>
      </c>
      <c r="H21" s="25">
        <f t="shared" si="5"/>
        <v>11470.5</v>
      </c>
      <c r="I21" s="56" t="s">
        <v>131</v>
      </c>
      <c r="J21" s="57" t="s">
        <v>132</v>
      </c>
      <c r="K21" s="56" t="s">
        <v>133</v>
      </c>
      <c r="L21" s="56" t="s">
        <v>134</v>
      </c>
      <c r="M21" s="57" t="s">
        <v>91</v>
      </c>
      <c r="N21" s="57" t="s">
        <v>112</v>
      </c>
      <c r="O21" s="58" t="s">
        <v>135</v>
      </c>
      <c r="P21" s="59" t="s">
        <v>136</v>
      </c>
    </row>
    <row r="22" spans="1:16" ht="12.75" customHeight="1">
      <c r="A22" s="25" t="str">
        <f t="shared" si="0"/>
        <v> MHAR 20.12 </v>
      </c>
      <c r="B22" s="14" t="str">
        <f t="shared" si="1"/>
        <v>I</v>
      </c>
      <c r="C22" s="25">
        <f t="shared" si="2"/>
        <v>36904.437</v>
      </c>
      <c r="D22" t="str">
        <f t="shared" si="3"/>
        <v>vis</v>
      </c>
      <c r="E22">
        <f>VLOOKUP(C22,A!C$21:E$973,3,FALSE)</f>
        <v>-9832.114913374317</v>
      </c>
      <c r="F22" s="14" t="s">
        <v>64</v>
      </c>
      <c r="G22" t="str">
        <f t="shared" si="4"/>
        <v>36904.437</v>
      </c>
      <c r="H22" s="25">
        <f t="shared" si="5"/>
        <v>-9832</v>
      </c>
      <c r="I22" s="56" t="s">
        <v>137</v>
      </c>
      <c r="J22" s="57" t="s">
        <v>138</v>
      </c>
      <c r="K22" s="56">
        <v>-9832</v>
      </c>
      <c r="L22" s="56" t="s">
        <v>139</v>
      </c>
      <c r="M22" s="57" t="s">
        <v>140</v>
      </c>
      <c r="N22" s="57"/>
      <c r="O22" s="58" t="s">
        <v>141</v>
      </c>
      <c r="P22" s="58" t="s">
        <v>44</v>
      </c>
    </row>
    <row r="23" spans="1:16" ht="12.75" customHeight="1">
      <c r="A23" s="25" t="str">
        <f t="shared" si="0"/>
        <v> MHAR 20.12 </v>
      </c>
      <c r="B23" s="14" t="str">
        <f t="shared" si="1"/>
        <v>I</v>
      </c>
      <c r="C23" s="25">
        <f t="shared" si="2"/>
        <v>36957.403</v>
      </c>
      <c r="D23" t="str">
        <f t="shared" si="3"/>
        <v>vis</v>
      </c>
      <c r="E23">
        <f>VLOOKUP(C23,A!C$21:E$973,3,FALSE)</f>
        <v>-9775.189157817806</v>
      </c>
      <c r="F23" s="14" t="s">
        <v>64</v>
      </c>
      <c r="G23" t="str">
        <f t="shared" si="4"/>
        <v>36957.403</v>
      </c>
      <c r="H23" s="25">
        <f t="shared" si="5"/>
        <v>-9775</v>
      </c>
      <c r="I23" s="56" t="s">
        <v>142</v>
      </c>
      <c r="J23" s="57" t="s">
        <v>143</v>
      </c>
      <c r="K23" s="56">
        <v>-9775</v>
      </c>
      <c r="L23" s="56" t="s">
        <v>144</v>
      </c>
      <c r="M23" s="57" t="s">
        <v>140</v>
      </c>
      <c r="N23" s="57"/>
      <c r="O23" s="58" t="s">
        <v>141</v>
      </c>
      <c r="P23" s="58" t="s">
        <v>44</v>
      </c>
    </row>
    <row r="24" spans="1:16" ht="12.75" customHeight="1">
      <c r="A24" s="25" t="str">
        <f t="shared" si="0"/>
        <v> MHAR 20.12 </v>
      </c>
      <c r="B24" s="14" t="str">
        <f t="shared" si="1"/>
        <v>I</v>
      </c>
      <c r="C24" s="25">
        <f t="shared" si="2"/>
        <v>37319.386</v>
      </c>
      <c r="D24" t="str">
        <f t="shared" si="3"/>
        <v>vis</v>
      </c>
      <c r="E24">
        <f>VLOOKUP(C24,A!C$21:E$973,3,FALSE)</f>
        <v>-9386.144189845663</v>
      </c>
      <c r="F24" s="14" t="s">
        <v>64</v>
      </c>
      <c r="G24" t="str">
        <f t="shared" si="4"/>
        <v>37319.386</v>
      </c>
      <c r="H24" s="25">
        <f t="shared" si="5"/>
        <v>-9386</v>
      </c>
      <c r="I24" s="56" t="s">
        <v>145</v>
      </c>
      <c r="J24" s="57" t="s">
        <v>146</v>
      </c>
      <c r="K24" s="56">
        <v>-9386</v>
      </c>
      <c r="L24" s="56" t="s">
        <v>147</v>
      </c>
      <c r="M24" s="57" t="s">
        <v>140</v>
      </c>
      <c r="N24" s="57"/>
      <c r="O24" s="58" t="s">
        <v>141</v>
      </c>
      <c r="P24" s="58" t="s">
        <v>44</v>
      </c>
    </row>
    <row r="25" spans="1:16" ht="12.75" customHeight="1">
      <c r="A25" s="25" t="str">
        <f t="shared" si="0"/>
        <v> MHAR 20.12 </v>
      </c>
      <c r="B25" s="14" t="str">
        <f t="shared" si="1"/>
        <v>I</v>
      </c>
      <c r="C25" s="25">
        <f t="shared" si="2"/>
        <v>37346.374</v>
      </c>
      <c r="D25" t="str">
        <f t="shared" si="3"/>
        <v>vis</v>
      </c>
      <c r="E25">
        <f>VLOOKUP(C25,A!C$21:E$973,3,FALSE)</f>
        <v>-9357.138558101537</v>
      </c>
      <c r="F25" s="14" t="s">
        <v>64</v>
      </c>
      <c r="G25" t="str">
        <f t="shared" si="4"/>
        <v>37346.374</v>
      </c>
      <c r="H25" s="25">
        <f t="shared" si="5"/>
        <v>-9357</v>
      </c>
      <c r="I25" s="56" t="s">
        <v>148</v>
      </c>
      <c r="J25" s="57" t="s">
        <v>149</v>
      </c>
      <c r="K25" s="56">
        <v>-9357</v>
      </c>
      <c r="L25" s="56" t="s">
        <v>150</v>
      </c>
      <c r="M25" s="57" t="s">
        <v>140</v>
      </c>
      <c r="N25" s="57"/>
      <c r="O25" s="58" t="s">
        <v>141</v>
      </c>
      <c r="P25" s="58" t="s">
        <v>44</v>
      </c>
    </row>
    <row r="26" spans="1:16" ht="12.75" customHeight="1">
      <c r="A26" s="25" t="str">
        <f t="shared" si="0"/>
        <v> MHAR 20.12 </v>
      </c>
      <c r="B26" s="14" t="str">
        <f t="shared" si="1"/>
        <v>I</v>
      </c>
      <c r="C26" s="25">
        <f t="shared" si="2"/>
        <v>39056.531</v>
      </c>
      <c r="D26" t="str">
        <f t="shared" si="3"/>
        <v>vis</v>
      </c>
      <c r="E26">
        <f>VLOOKUP(C26,A!C$21:E$973,3,FALSE)</f>
        <v>-7519.129659086017</v>
      </c>
      <c r="F26" s="14" t="s">
        <v>64</v>
      </c>
      <c r="G26" t="str">
        <f t="shared" si="4"/>
        <v>39056.531</v>
      </c>
      <c r="H26" s="25">
        <f t="shared" si="5"/>
        <v>-7519</v>
      </c>
      <c r="I26" s="56" t="s">
        <v>151</v>
      </c>
      <c r="J26" s="57" t="s">
        <v>152</v>
      </c>
      <c r="K26" s="56">
        <v>-7519</v>
      </c>
      <c r="L26" s="56" t="s">
        <v>153</v>
      </c>
      <c r="M26" s="57" t="s">
        <v>140</v>
      </c>
      <c r="N26" s="57"/>
      <c r="O26" s="58" t="s">
        <v>141</v>
      </c>
      <c r="P26" s="58" t="s">
        <v>44</v>
      </c>
    </row>
    <row r="27" spans="1:16" ht="12.75" customHeight="1">
      <c r="A27" s="25" t="str">
        <f t="shared" si="0"/>
        <v> MHAR 20.12 </v>
      </c>
      <c r="B27" s="14" t="str">
        <f t="shared" si="1"/>
        <v>I</v>
      </c>
      <c r="C27" s="25">
        <f t="shared" si="2"/>
        <v>39179.351</v>
      </c>
      <c r="D27" t="str">
        <f t="shared" si="3"/>
        <v>vis</v>
      </c>
      <c r="E27">
        <f>VLOOKUP(C27,A!C$21:E$973,3,FALSE)</f>
        <v>-7387.127595546188</v>
      </c>
      <c r="F27" s="14" t="s">
        <v>64</v>
      </c>
      <c r="G27" t="str">
        <f t="shared" si="4"/>
        <v>39179.351</v>
      </c>
      <c r="H27" s="25">
        <f t="shared" si="5"/>
        <v>-7387</v>
      </c>
      <c r="I27" s="56" t="s">
        <v>154</v>
      </c>
      <c r="J27" s="57" t="s">
        <v>155</v>
      </c>
      <c r="K27" s="56">
        <v>-7387</v>
      </c>
      <c r="L27" s="56" t="s">
        <v>156</v>
      </c>
      <c r="M27" s="57" t="s">
        <v>140</v>
      </c>
      <c r="N27" s="57"/>
      <c r="O27" s="58" t="s">
        <v>141</v>
      </c>
      <c r="P27" s="58" t="s">
        <v>44</v>
      </c>
    </row>
    <row r="28" spans="1:16" ht="12.75" customHeight="1">
      <c r="A28" s="25" t="str">
        <f t="shared" si="0"/>
        <v> MHAR 20.12 </v>
      </c>
      <c r="B28" s="14" t="str">
        <f t="shared" si="1"/>
        <v>I</v>
      </c>
      <c r="C28" s="25">
        <f t="shared" si="2"/>
        <v>42069.322</v>
      </c>
      <c r="D28" t="str">
        <f t="shared" si="3"/>
        <v>vis</v>
      </c>
      <c r="E28">
        <f>VLOOKUP(C28,A!C$21:E$973,3,FALSE)</f>
        <v>-4281.101414384589</v>
      </c>
      <c r="F28" s="14" t="s">
        <v>64</v>
      </c>
      <c r="G28" t="str">
        <f t="shared" si="4"/>
        <v>42069.322</v>
      </c>
      <c r="H28" s="25">
        <f t="shared" si="5"/>
        <v>-4281</v>
      </c>
      <c r="I28" s="56" t="s">
        <v>157</v>
      </c>
      <c r="J28" s="57" t="s">
        <v>158</v>
      </c>
      <c r="K28" s="56">
        <v>-4281</v>
      </c>
      <c r="L28" s="56" t="s">
        <v>159</v>
      </c>
      <c r="M28" s="57" t="s">
        <v>140</v>
      </c>
      <c r="N28" s="57"/>
      <c r="O28" s="58" t="s">
        <v>141</v>
      </c>
      <c r="P28" s="58" t="s">
        <v>44</v>
      </c>
    </row>
    <row r="29" spans="1:16" ht="12.75" customHeight="1">
      <c r="A29" s="25" t="str">
        <f t="shared" si="0"/>
        <v> MHAR 20.12 </v>
      </c>
      <c r="B29" s="14" t="str">
        <f t="shared" si="1"/>
        <v>I</v>
      </c>
      <c r="C29" s="25">
        <f t="shared" si="2"/>
        <v>43192.391</v>
      </c>
      <c r="D29" t="str">
        <f t="shared" si="3"/>
        <v>vis</v>
      </c>
      <c r="E29">
        <f>VLOOKUP(C29,A!C$21:E$973,3,FALSE)</f>
        <v>-3074.0714070762156</v>
      </c>
      <c r="F29" s="14" t="s">
        <v>64</v>
      </c>
      <c r="G29" t="str">
        <f t="shared" si="4"/>
        <v>43192.391</v>
      </c>
      <c r="H29" s="25">
        <f t="shared" si="5"/>
        <v>-3074</v>
      </c>
      <c r="I29" s="56" t="s">
        <v>160</v>
      </c>
      <c r="J29" s="57" t="s">
        <v>161</v>
      </c>
      <c r="K29" s="56">
        <v>-3074</v>
      </c>
      <c r="L29" s="56" t="s">
        <v>162</v>
      </c>
      <c r="M29" s="57" t="s">
        <v>140</v>
      </c>
      <c r="N29" s="57"/>
      <c r="O29" s="58" t="s">
        <v>141</v>
      </c>
      <c r="P29" s="58" t="s">
        <v>44</v>
      </c>
    </row>
    <row r="30" spans="1:16" ht="12.75" customHeight="1">
      <c r="A30" s="25" t="str">
        <f t="shared" si="0"/>
        <v> VSSC 60.23 </v>
      </c>
      <c r="B30" s="14" t="str">
        <f t="shared" si="1"/>
        <v>I</v>
      </c>
      <c r="C30" s="25">
        <f t="shared" si="2"/>
        <v>45044.948</v>
      </c>
      <c r="D30" t="str">
        <f t="shared" si="3"/>
        <v>vis</v>
      </c>
      <c r="E30">
        <f>VLOOKUP(C30,A!C$21:E$973,3,FALSE)</f>
        <v>-1083.016637289885</v>
      </c>
      <c r="F30" s="14" t="s">
        <v>64</v>
      </c>
      <c r="G30" t="str">
        <f t="shared" si="4"/>
        <v>45044.948</v>
      </c>
      <c r="H30" s="25">
        <f t="shared" si="5"/>
        <v>-1083</v>
      </c>
      <c r="I30" s="56" t="s">
        <v>163</v>
      </c>
      <c r="J30" s="57" t="s">
        <v>164</v>
      </c>
      <c r="K30" s="56">
        <v>-1083</v>
      </c>
      <c r="L30" s="56" t="s">
        <v>165</v>
      </c>
      <c r="M30" s="57" t="s">
        <v>75</v>
      </c>
      <c r="N30" s="57"/>
      <c r="O30" s="58" t="s">
        <v>76</v>
      </c>
      <c r="P30" s="58" t="s">
        <v>47</v>
      </c>
    </row>
    <row r="31" spans="1:16" ht="12.75" customHeight="1">
      <c r="A31" s="25" t="str">
        <f t="shared" si="0"/>
        <v> VSSC 61.19 </v>
      </c>
      <c r="B31" s="14" t="str">
        <f t="shared" si="1"/>
        <v>I</v>
      </c>
      <c r="C31" s="25">
        <f t="shared" si="2"/>
        <v>45053.316</v>
      </c>
      <c r="D31" t="str">
        <f t="shared" si="3"/>
        <v>vis</v>
      </c>
      <c r="E31">
        <f>VLOOKUP(C31,A!C$21:E$973,3,FALSE)</f>
        <v>-1074.0230428614402</v>
      </c>
      <c r="F31" s="14" t="s">
        <v>64</v>
      </c>
      <c r="G31" t="str">
        <f t="shared" si="4"/>
        <v>45053.316</v>
      </c>
      <c r="H31" s="25">
        <f t="shared" si="5"/>
        <v>-1074</v>
      </c>
      <c r="I31" s="56" t="s">
        <v>166</v>
      </c>
      <c r="J31" s="57" t="s">
        <v>167</v>
      </c>
      <c r="K31" s="56">
        <v>-1074</v>
      </c>
      <c r="L31" s="56" t="s">
        <v>168</v>
      </c>
      <c r="M31" s="57" t="s">
        <v>75</v>
      </c>
      <c r="N31" s="57"/>
      <c r="O31" s="58" t="s">
        <v>76</v>
      </c>
      <c r="P31" s="58" t="s">
        <v>48</v>
      </c>
    </row>
    <row r="32" spans="1:16" ht="12.75" customHeight="1">
      <c r="A32" s="25" t="str">
        <f t="shared" si="0"/>
        <v> VSSC 61.19 </v>
      </c>
      <c r="B32" s="14" t="str">
        <f t="shared" si="1"/>
        <v>I</v>
      </c>
      <c r="C32" s="25">
        <f t="shared" si="2"/>
        <v>45079.373</v>
      </c>
      <c r="D32" t="str">
        <f t="shared" si="3"/>
        <v>vis</v>
      </c>
      <c r="E32">
        <f>VLOOKUP(C32,A!C$21:E$973,3,FALSE)</f>
        <v>-1046.0180129831024</v>
      </c>
      <c r="F32" s="14" t="s">
        <v>64</v>
      </c>
      <c r="G32" t="str">
        <f t="shared" si="4"/>
        <v>45079.373</v>
      </c>
      <c r="H32" s="25">
        <f t="shared" si="5"/>
        <v>-1046</v>
      </c>
      <c r="I32" s="56" t="s">
        <v>169</v>
      </c>
      <c r="J32" s="57" t="s">
        <v>170</v>
      </c>
      <c r="K32" s="56">
        <v>-1046</v>
      </c>
      <c r="L32" s="56" t="s">
        <v>171</v>
      </c>
      <c r="M32" s="57" t="s">
        <v>75</v>
      </c>
      <c r="N32" s="57"/>
      <c r="O32" s="58" t="s">
        <v>76</v>
      </c>
      <c r="P32" s="58" t="s">
        <v>48</v>
      </c>
    </row>
    <row r="33" spans="1:16" ht="12.75" customHeight="1">
      <c r="A33" s="25" t="str">
        <f t="shared" si="0"/>
        <v> VSSC 61.19 </v>
      </c>
      <c r="B33" s="14" t="str">
        <f t="shared" si="1"/>
        <v>I</v>
      </c>
      <c r="C33" s="25">
        <f t="shared" si="2"/>
        <v>45414.323</v>
      </c>
      <c r="D33" t="str">
        <f t="shared" si="3"/>
        <v>vis</v>
      </c>
      <c r="E33">
        <f>VLOOKUP(C33,A!C$21:E$973,3,FALSE)</f>
        <v>-686.0270409698644</v>
      </c>
      <c r="F33" s="14" t="s">
        <v>64</v>
      </c>
      <c r="G33" t="str">
        <f t="shared" si="4"/>
        <v>45414.323</v>
      </c>
      <c r="H33" s="25">
        <f t="shared" si="5"/>
        <v>-686</v>
      </c>
      <c r="I33" s="56" t="s">
        <v>172</v>
      </c>
      <c r="J33" s="57" t="s">
        <v>173</v>
      </c>
      <c r="K33" s="56">
        <v>-686</v>
      </c>
      <c r="L33" s="56" t="s">
        <v>174</v>
      </c>
      <c r="M33" s="57" t="s">
        <v>75</v>
      </c>
      <c r="N33" s="57"/>
      <c r="O33" s="58" t="s">
        <v>76</v>
      </c>
      <c r="P33" s="58" t="s">
        <v>48</v>
      </c>
    </row>
    <row r="34" spans="1:16" ht="12.75" customHeight="1">
      <c r="A34" s="25" t="str">
        <f t="shared" si="0"/>
        <v> VSSC 60.23 </v>
      </c>
      <c r="B34" s="14" t="str">
        <f t="shared" si="1"/>
        <v>II</v>
      </c>
      <c r="C34" s="25">
        <f t="shared" si="2"/>
        <v>45436.199</v>
      </c>
      <c r="D34" t="str">
        <f t="shared" si="3"/>
        <v>vis</v>
      </c>
      <c r="E34">
        <f>VLOOKUP(C34,A!C$21:E$973,3,FALSE)</f>
        <v>-662.515584024759</v>
      </c>
      <c r="F34" s="14" t="s">
        <v>64</v>
      </c>
      <c r="G34" t="str">
        <f t="shared" si="4"/>
        <v>45436.199</v>
      </c>
      <c r="H34" s="25">
        <f t="shared" si="5"/>
        <v>-662.5</v>
      </c>
      <c r="I34" s="56" t="s">
        <v>175</v>
      </c>
      <c r="J34" s="57" t="s">
        <v>176</v>
      </c>
      <c r="K34" s="56">
        <v>-662.5</v>
      </c>
      <c r="L34" s="56" t="s">
        <v>165</v>
      </c>
      <c r="M34" s="57" t="s">
        <v>75</v>
      </c>
      <c r="N34" s="57"/>
      <c r="O34" s="58" t="s">
        <v>76</v>
      </c>
      <c r="P34" s="58" t="s">
        <v>47</v>
      </c>
    </row>
    <row r="35" spans="1:16" ht="12.75" customHeight="1">
      <c r="A35" s="25" t="str">
        <f t="shared" si="0"/>
        <v> VSSC 60.23 </v>
      </c>
      <c r="B35" s="14" t="str">
        <f t="shared" si="1"/>
        <v>I</v>
      </c>
      <c r="C35" s="25">
        <f t="shared" si="2"/>
        <v>45436.655</v>
      </c>
      <c r="D35" t="str">
        <f t="shared" si="3"/>
        <v>vis</v>
      </c>
      <c r="E35">
        <f>VLOOKUP(C35,A!C$21:E$973,3,FALSE)</f>
        <v>-662.0254933149891</v>
      </c>
      <c r="F35" s="14" t="s">
        <v>64</v>
      </c>
      <c r="G35" t="str">
        <f t="shared" si="4"/>
        <v>45436.655</v>
      </c>
      <c r="H35" s="25">
        <f t="shared" si="5"/>
        <v>-662</v>
      </c>
      <c r="I35" s="56" t="s">
        <v>177</v>
      </c>
      <c r="J35" s="57" t="s">
        <v>178</v>
      </c>
      <c r="K35" s="56">
        <v>-662</v>
      </c>
      <c r="L35" s="56" t="s">
        <v>179</v>
      </c>
      <c r="M35" s="57" t="s">
        <v>75</v>
      </c>
      <c r="N35" s="57"/>
      <c r="O35" s="58" t="s">
        <v>76</v>
      </c>
      <c r="P35" s="58" t="s">
        <v>47</v>
      </c>
    </row>
    <row r="36" spans="1:16" ht="12.75" customHeight="1">
      <c r="A36" s="25" t="str">
        <f t="shared" si="0"/>
        <v> VSSC 61.19 </v>
      </c>
      <c r="B36" s="14" t="str">
        <f t="shared" si="1"/>
        <v>I</v>
      </c>
      <c r="C36" s="25">
        <f t="shared" si="2"/>
        <v>45440.368</v>
      </c>
      <c r="D36" t="str">
        <f t="shared" si="3"/>
        <v>vis</v>
      </c>
      <c r="E36">
        <f>VLOOKUP(C36,A!C$21:E$973,3,FALSE)</f>
        <v>-658.0349082154627</v>
      </c>
      <c r="F36" s="14" t="s">
        <v>64</v>
      </c>
      <c r="G36" t="str">
        <f t="shared" si="4"/>
        <v>45440.368</v>
      </c>
      <c r="H36" s="25">
        <f t="shared" si="5"/>
        <v>-658</v>
      </c>
      <c r="I36" s="56" t="s">
        <v>180</v>
      </c>
      <c r="J36" s="57" t="s">
        <v>181</v>
      </c>
      <c r="K36" s="56">
        <v>-658</v>
      </c>
      <c r="L36" s="56" t="s">
        <v>182</v>
      </c>
      <c r="M36" s="57" t="s">
        <v>75</v>
      </c>
      <c r="N36" s="57"/>
      <c r="O36" s="58" t="s">
        <v>76</v>
      </c>
      <c r="P36" s="58" t="s">
        <v>48</v>
      </c>
    </row>
    <row r="37" spans="1:16" ht="12.75" customHeight="1">
      <c r="A37" s="25" t="str">
        <f t="shared" si="0"/>
        <v> VSSC 61.19 </v>
      </c>
      <c r="B37" s="14" t="str">
        <f t="shared" si="1"/>
        <v>I</v>
      </c>
      <c r="C37" s="25">
        <f t="shared" si="2"/>
        <v>45815.392</v>
      </c>
      <c r="D37" t="str">
        <f t="shared" si="3"/>
        <v>vis</v>
      </c>
      <c r="E37">
        <f>VLOOKUP(C37,A!C$21:E$973,3,FALSE)</f>
        <v>-254.97399080004894</v>
      </c>
      <c r="F37" s="14" t="s">
        <v>64</v>
      </c>
      <c r="G37" t="str">
        <f t="shared" si="4"/>
        <v>45815.392</v>
      </c>
      <c r="H37" s="25">
        <f t="shared" si="5"/>
        <v>-255</v>
      </c>
      <c r="I37" s="56" t="s">
        <v>183</v>
      </c>
      <c r="J37" s="57" t="s">
        <v>184</v>
      </c>
      <c r="K37" s="56">
        <v>-255</v>
      </c>
      <c r="L37" s="56" t="s">
        <v>185</v>
      </c>
      <c r="M37" s="57" t="s">
        <v>75</v>
      </c>
      <c r="N37" s="57"/>
      <c r="O37" s="58" t="s">
        <v>76</v>
      </c>
      <c r="P37" s="58" t="s">
        <v>48</v>
      </c>
    </row>
    <row r="38" spans="1:16" ht="12.75" customHeight="1">
      <c r="A38" s="25" t="str">
        <f t="shared" si="0"/>
        <v> VSSC 61.19 </v>
      </c>
      <c r="B38" s="14" t="str">
        <f t="shared" si="1"/>
        <v>I</v>
      </c>
      <c r="C38" s="25">
        <f t="shared" si="2"/>
        <v>46052.633</v>
      </c>
      <c r="D38" t="str">
        <f t="shared" si="3"/>
        <v>vis</v>
      </c>
      <c r="E38">
        <f>VLOOKUP(C38,A!C$21:E$973,3,FALSE)</f>
        <v>0.0032242809899070968</v>
      </c>
      <c r="F38" s="14" t="s">
        <v>64</v>
      </c>
      <c r="G38" t="str">
        <f t="shared" si="4"/>
        <v>46052.633</v>
      </c>
      <c r="H38" s="25">
        <f t="shared" si="5"/>
        <v>0</v>
      </c>
      <c r="I38" s="56" t="s">
        <v>186</v>
      </c>
      <c r="J38" s="57" t="s">
        <v>187</v>
      </c>
      <c r="K38" s="56">
        <v>0</v>
      </c>
      <c r="L38" s="56" t="s">
        <v>188</v>
      </c>
      <c r="M38" s="57" t="s">
        <v>75</v>
      </c>
      <c r="N38" s="57"/>
      <c r="O38" s="58" t="s">
        <v>76</v>
      </c>
      <c r="P38" s="58" t="s">
        <v>48</v>
      </c>
    </row>
    <row r="39" spans="1:16" ht="12.75" customHeight="1">
      <c r="A39" s="25" t="str">
        <f t="shared" si="0"/>
        <v> VSSC 68.34 </v>
      </c>
      <c r="B39" s="14" t="str">
        <f t="shared" si="1"/>
        <v>I</v>
      </c>
      <c r="C39" s="25">
        <f t="shared" si="2"/>
        <v>46109.393</v>
      </c>
      <c r="D39" t="str">
        <f t="shared" si="3"/>
        <v>vis</v>
      </c>
      <c r="E39">
        <f>VLOOKUP(C39,A!C$21:E$973,3,FALSE)</f>
        <v>61.00662052362217</v>
      </c>
      <c r="F39" s="14" t="s">
        <v>64</v>
      </c>
      <c r="G39" t="str">
        <f t="shared" si="4"/>
        <v>46109.393</v>
      </c>
      <c r="H39" s="25">
        <f t="shared" si="5"/>
        <v>61</v>
      </c>
      <c r="I39" s="56" t="s">
        <v>189</v>
      </c>
      <c r="J39" s="57" t="s">
        <v>190</v>
      </c>
      <c r="K39" s="56">
        <v>61</v>
      </c>
      <c r="L39" s="56" t="s">
        <v>191</v>
      </c>
      <c r="M39" s="57" t="s">
        <v>75</v>
      </c>
      <c r="N39" s="57"/>
      <c r="O39" s="58" t="s">
        <v>76</v>
      </c>
      <c r="P39" s="58" t="s">
        <v>51</v>
      </c>
    </row>
    <row r="40" spans="1:16" ht="12.75" customHeight="1">
      <c r="A40" s="25" t="str">
        <f t="shared" si="0"/>
        <v> VSSC 68.34 </v>
      </c>
      <c r="B40" s="14" t="str">
        <f t="shared" si="1"/>
        <v>I</v>
      </c>
      <c r="C40" s="25">
        <f t="shared" si="2"/>
        <v>46135.44</v>
      </c>
      <c r="D40" t="str">
        <f t="shared" si="3"/>
        <v>vis</v>
      </c>
      <c r="E40">
        <f>VLOOKUP(C40,A!C$21:E$973,3,FALSE)</f>
        <v>89.00090279868121</v>
      </c>
      <c r="F40" s="14" t="s">
        <v>64</v>
      </c>
      <c r="G40" t="str">
        <f t="shared" si="4"/>
        <v>46135.440</v>
      </c>
      <c r="H40" s="25">
        <f t="shared" si="5"/>
        <v>89</v>
      </c>
      <c r="I40" s="56" t="s">
        <v>192</v>
      </c>
      <c r="J40" s="57" t="s">
        <v>193</v>
      </c>
      <c r="K40" s="56">
        <v>89</v>
      </c>
      <c r="L40" s="56" t="s">
        <v>194</v>
      </c>
      <c r="M40" s="57" t="s">
        <v>75</v>
      </c>
      <c r="N40" s="57"/>
      <c r="O40" s="58" t="s">
        <v>76</v>
      </c>
      <c r="P40" s="58" t="s">
        <v>51</v>
      </c>
    </row>
    <row r="41" spans="1:16" ht="12.75" customHeight="1">
      <c r="A41" s="25" t="str">
        <f t="shared" si="0"/>
        <v> VSSC 68.34 </v>
      </c>
      <c r="B41" s="14" t="str">
        <f t="shared" si="1"/>
        <v>I</v>
      </c>
      <c r="C41" s="25">
        <f t="shared" si="2"/>
        <v>46136.374</v>
      </c>
      <c r="D41" t="str">
        <f t="shared" si="3"/>
        <v>vis</v>
      </c>
      <c r="E41">
        <f>VLOOKUP(C41,A!C$21:E$973,3,FALSE)</f>
        <v>90.00472894545167</v>
      </c>
      <c r="F41" s="14" t="s">
        <v>64</v>
      </c>
      <c r="G41" t="str">
        <f t="shared" si="4"/>
        <v>46136.374</v>
      </c>
      <c r="H41" s="25">
        <f t="shared" si="5"/>
        <v>90</v>
      </c>
      <c r="I41" s="56" t="s">
        <v>195</v>
      </c>
      <c r="J41" s="57" t="s">
        <v>196</v>
      </c>
      <c r="K41" s="56">
        <v>90</v>
      </c>
      <c r="L41" s="56" t="s">
        <v>197</v>
      </c>
      <c r="M41" s="57" t="s">
        <v>75</v>
      </c>
      <c r="N41" s="57"/>
      <c r="O41" s="58" t="s">
        <v>76</v>
      </c>
      <c r="P41" s="58" t="s">
        <v>51</v>
      </c>
    </row>
    <row r="42" spans="1:16" ht="12.75" customHeight="1">
      <c r="A42" s="25" t="str">
        <f t="shared" si="0"/>
        <v> VSSC 68.34 </v>
      </c>
      <c r="B42" s="14" t="str">
        <f t="shared" si="1"/>
        <v>I</v>
      </c>
      <c r="C42" s="25">
        <f t="shared" si="2"/>
        <v>46444.37</v>
      </c>
      <c r="D42" t="str">
        <f t="shared" si="3"/>
        <v>vis</v>
      </c>
      <c r="E42">
        <f>VLOOKUP(C42,A!C$21:E$973,3,FALSE)</f>
        <v>421.02661106573794</v>
      </c>
      <c r="F42" s="14" t="s">
        <v>64</v>
      </c>
      <c r="G42" t="str">
        <f t="shared" si="4"/>
        <v>46444.370</v>
      </c>
      <c r="H42" s="25">
        <f t="shared" si="5"/>
        <v>421</v>
      </c>
      <c r="I42" s="56" t="s">
        <v>198</v>
      </c>
      <c r="J42" s="57" t="s">
        <v>199</v>
      </c>
      <c r="K42" s="56">
        <v>421</v>
      </c>
      <c r="L42" s="56" t="s">
        <v>200</v>
      </c>
      <c r="M42" s="57" t="s">
        <v>75</v>
      </c>
      <c r="N42" s="57"/>
      <c r="O42" s="58" t="s">
        <v>76</v>
      </c>
      <c r="P42" s="58" t="s">
        <v>51</v>
      </c>
    </row>
    <row r="43" spans="1:16" ht="12.75" customHeight="1">
      <c r="A43" s="25" t="str">
        <f t="shared" si="0"/>
        <v> VSSC 72.27 </v>
      </c>
      <c r="B43" s="14" t="str">
        <f t="shared" si="1"/>
        <v>I</v>
      </c>
      <c r="C43" s="25">
        <f t="shared" si="2"/>
        <v>47206.366</v>
      </c>
      <c r="D43" t="str">
        <f t="shared" si="3"/>
        <v>vis</v>
      </c>
      <c r="E43">
        <f>VLOOKUP(C43,A!C$21:E$973,3,FALSE)</f>
        <v>1239.9896823008517</v>
      </c>
      <c r="F43" s="14" t="s">
        <v>64</v>
      </c>
      <c r="G43" t="str">
        <f t="shared" si="4"/>
        <v>47206.366</v>
      </c>
      <c r="H43" s="25">
        <f t="shared" si="5"/>
        <v>1240</v>
      </c>
      <c r="I43" s="56" t="s">
        <v>201</v>
      </c>
      <c r="J43" s="57" t="s">
        <v>202</v>
      </c>
      <c r="K43" s="56">
        <v>1240</v>
      </c>
      <c r="L43" s="56" t="s">
        <v>203</v>
      </c>
      <c r="M43" s="57" t="s">
        <v>75</v>
      </c>
      <c r="N43" s="57"/>
      <c r="O43" s="58" t="s">
        <v>204</v>
      </c>
      <c r="P43" s="58" t="s">
        <v>52</v>
      </c>
    </row>
    <row r="44" spans="1:16" ht="12.75" customHeight="1">
      <c r="A44" s="25" t="str">
        <f t="shared" si="0"/>
        <v>IBVS 5809 </v>
      </c>
      <c r="B44" s="14" t="str">
        <f t="shared" si="1"/>
        <v>I</v>
      </c>
      <c r="C44" s="25">
        <f t="shared" si="2"/>
        <v>52679.3175</v>
      </c>
      <c r="D44" t="str">
        <f t="shared" si="3"/>
        <v>vis</v>
      </c>
      <c r="E44">
        <f>VLOOKUP(C44,A!C$21:E$973,3,FALSE)</f>
        <v>7122.100834014014</v>
      </c>
      <c r="F44" s="14" t="s">
        <v>64</v>
      </c>
      <c r="G44" t="str">
        <f t="shared" si="4"/>
        <v>52679.3175</v>
      </c>
      <c r="H44" s="25">
        <f t="shared" si="5"/>
        <v>7122</v>
      </c>
      <c r="I44" s="56" t="s">
        <v>205</v>
      </c>
      <c r="J44" s="57" t="s">
        <v>206</v>
      </c>
      <c r="K44" s="56">
        <v>7122</v>
      </c>
      <c r="L44" s="56" t="s">
        <v>207</v>
      </c>
      <c r="M44" s="57" t="s">
        <v>91</v>
      </c>
      <c r="N44" s="57" t="s">
        <v>64</v>
      </c>
      <c r="O44" s="58" t="s">
        <v>208</v>
      </c>
      <c r="P44" s="59" t="s">
        <v>54</v>
      </c>
    </row>
    <row r="45" spans="1:16" ht="12.75" customHeight="1">
      <c r="A45" s="25" t="str">
        <f t="shared" si="0"/>
        <v>IBVS 5809 </v>
      </c>
      <c r="B45" s="14" t="str">
        <f t="shared" si="1"/>
        <v>II</v>
      </c>
      <c r="C45" s="25">
        <f t="shared" si="2"/>
        <v>52679.7755</v>
      </c>
      <c r="D45" t="str">
        <f t="shared" si="3"/>
        <v>vis</v>
      </c>
      <c r="E45">
        <f>VLOOKUP(C45,A!C$21:E$973,3,FALSE)</f>
        <v>7122.59307424445</v>
      </c>
      <c r="F45" s="14" t="s">
        <v>64</v>
      </c>
      <c r="G45" t="str">
        <f t="shared" si="4"/>
        <v>52679.7755</v>
      </c>
      <c r="H45" s="25">
        <f t="shared" si="5"/>
        <v>7122.5</v>
      </c>
      <c r="I45" s="56" t="s">
        <v>209</v>
      </c>
      <c r="J45" s="57" t="s">
        <v>210</v>
      </c>
      <c r="K45" s="56">
        <v>7122.5</v>
      </c>
      <c r="L45" s="56" t="s">
        <v>211</v>
      </c>
      <c r="M45" s="57" t="s">
        <v>91</v>
      </c>
      <c r="N45" s="57" t="s">
        <v>64</v>
      </c>
      <c r="O45" s="58" t="s">
        <v>208</v>
      </c>
      <c r="P45" s="59" t="s">
        <v>54</v>
      </c>
    </row>
    <row r="46" spans="1:16" ht="12.75" customHeight="1">
      <c r="A46" s="25" t="str">
        <f t="shared" si="0"/>
        <v>IBVS 5809 </v>
      </c>
      <c r="B46" s="14" t="str">
        <f t="shared" si="1"/>
        <v>I</v>
      </c>
      <c r="C46" s="25">
        <f t="shared" si="2"/>
        <v>52680.2469</v>
      </c>
      <c r="D46" t="str">
        <f t="shared" si="3"/>
        <v>vis</v>
      </c>
      <c r="E46">
        <f>VLOOKUP(C46,A!C$21:E$973,3,FALSE)</f>
        <v>7123.099716263274</v>
      </c>
      <c r="F46" s="14" t="s">
        <v>64</v>
      </c>
      <c r="G46" t="str">
        <f t="shared" si="4"/>
        <v>52680.2469</v>
      </c>
      <c r="H46" s="25">
        <f t="shared" si="5"/>
        <v>7123</v>
      </c>
      <c r="I46" s="56" t="s">
        <v>212</v>
      </c>
      <c r="J46" s="57" t="s">
        <v>213</v>
      </c>
      <c r="K46" s="56">
        <v>7123</v>
      </c>
      <c r="L46" s="56" t="s">
        <v>214</v>
      </c>
      <c r="M46" s="57" t="s">
        <v>91</v>
      </c>
      <c r="N46" s="57" t="s">
        <v>64</v>
      </c>
      <c r="O46" s="58" t="s">
        <v>208</v>
      </c>
      <c r="P46" s="59" t="s">
        <v>54</v>
      </c>
    </row>
    <row r="47" spans="1:16" ht="12.75" customHeight="1">
      <c r="A47" s="25" t="str">
        <f t="shared" si="0"/>
        <v>IBVS 5809 </v>
      </c>
      <c r="B47" s="14" t="str">
        <f t="shared" si="1"/>
        <v>I</v>
      </c>
      <c r="C47" s="25">
        <f t="shared" si="2"/>
        <v>52681.176</v>
      </c>
      <c r="D47" t="str">
        <f t="shared" si="3"/>
        <v>vis</v>
      </c>
      <c r="E47">
        <f>VLOOKUP(C47,A!C$21:E$973,3,FALSE)</f>
        <v>7124.098276084435</v>
      </c>
      <c r="F47" s="14" t="s">
        <v>64</v>
      </c>
      <c r="G47" t="str">
        <f t="shared" si="4"/>
        <v>52681.176</v>
      </c>
      <c r="H47" s="25">
        <f t="shared" si="5"/>
        <v>7124</v>
      </c>
      <c r="I47" s="56" t="s">
        <v>215</v>
      </c>
      <c r="J47" s="57" t="s">
        <v>216</v>
      </c>
      <c r="K47" s="56">
        <v>7124</v>
      </c>
      <c r="L47" s="56" t="s">
        <v>217</v>
      </c>
      <c r="M47" s="57" t="s">
        <v>91</v>
      </c>
      <c r="N47" s="57" t="s">
        <v>64</v>
      </c>
      <c r="O47" s="58" t="s">
        <v>208</v>
      </c>
      <c r="P47" s="59" t="s">
        <v>54</v>
      </c>
    </row>
    <row r="48" spans="1:16" ht="12.75" customHeight="1">
      <c r="A48" s="25" t="str">
        <f t="shared" si="0"/>
        <v>IBVS 5809 </v>
      </c>
      <c r="B48" s="14" t="str">
        <f t="shared" si="1"/>
        <v>II</v>
      </c>
      <c r="C48" s="25">
        <f t="shared" si="2"/>
        <v>52681.6333</v>
      </c>
      <c r="D48" t="str">
        <f t="shared" si="3"/>
        <v>vis</v>
      </c>
      <c r="E48">
        <f>VLOOKUP(C48,A!C$21:E$973,3,FALSE)</f>
        <v>7124.589763982636</v>
      </c>
      <c r="F48" s="14" t="s">
        <v>64</v>
      </c>
      <c r="G48" t="str">
        <f t="shared" si="4"/>
        <v>52681.6333</v>
      </c>
      <c r="H48" s="25">
        <f t="shared" si="5"/>
        <v>7124.5</v>
      </c>
      <c r="I48" s="56" t="s">
        <v>218</v>
      </c>
      <c r="J48" s="57" t="s">
        <v>219</v>
      </c>
      <c r="K48" s="56">
        <v>7124.5</v>
      </c>
      <c r="L48" s="56" t="s">
        <v>220</v>
      </c>
      <c r="M48" s="57" t="s">
        <v>91</v>
      </c>
      <c r="N48" s="57" t="s">
        <v>64</v>
      </c>
      <c r="O48" s="58" t="s">
        <v>208</v>
      </c>
      <c r="P48" s="59" t="s">
        <v>54</v>
      </c>
    </row>
    <row r="49" spans="1:16" ht="12.75" customHeight="1">
      <c r="A49" s="25" t="str">
        <f t="shared" si="0"/>
        <v>IBVS 5809 </v>
      </c>
      <c r="B49" s="14" t="str">
        <f t="shared" si="1"/>
        <v>I</v>
      </c>
      <c r="C49" s="25">
        <f t="shared" si="2"/>
        <v>52688.6214</v>
      </c>
      <c r="D49" t="str">
        <f t="shared" si="3"/>
        <v>vis</v>
      </c>
      <c r="E49">
        <f>VLOOKUP(C49,A!C$21:E$973,3,FALSE)</f>
        <v>7132.100296633857</v>
      </c>
      <c r="F49" s="14" t="s">
        <v>64</v>
      </c>
      <c r="G49" t="str">
        <f t="shared" si="4"/>
        <v>52688.6214</v>
      </c>
      <c r="H49" s="25">
        <f t="shared" si="5"/>
        <v>7132</v>
      </c>
      <c r="I49" s="56" t="s">
        <v>221</v>
      </c>
      <c r="J49" s="57" t="s">
        <v>222</v>
      </c>
      <c r="K49" s="56">
        <v>7132</v>
      </c>
      <c r="L49" s="56" t="s">
        <v>223</v>
      </c>
      <c r="M49" s="57" t="s">
        <v>91</v>
      </c>
      <c r="N49" s="57" t="s">
        <v>64</v>
      </c>
      <c r="O49" s="58" t="s">
        <v>208</v>
      </c>
      <c r="P49" s="59" t="s">
        <v>54</v>
      </c>
    </row>
    <row r="50" spans="1:16" ht="12.75" customHeight="1">
      <c r="A50" s="25" t="str">
        <f t="shared" si="0"/>
        <v>IBVS 5809 </v>
      </c>
      <c r="B50" s="14" t="str">
        <f t="shared" si="1"/>
        <v>I</v>
      </c>
      <c r="C50" s="25">
        <f t="shared" si="2"/>
        <v>52690.478</v>
      </c>
      <c r="D50" t="str">
        <f t="shared" si="3"/>
        <v>vis</v>
      </c>
      <c r="E50">
        <f>VLOOKUP(C50,A!C$21:E$973,3,FALSE)</f>
        <v>7134.0956966596505</v>
      </c>
      <c r="F50" s="14" t="s">
        <v>64</v>
      </c>
      <c r="G50" t="str">
        <f t="shared" si="4"/>
        <v>52690.478</v>
      </c>
      <c r="H50" s="25">
        <f t="shared" si="5"/>
        <v>7134</v>
      </c>
      <c r="I50" s="56" t="s">
        <v>224</v>
      </c>
      <c r="J50" s="57" t="s">
        <v>225</v>
      </c>
      <c r="K50" s="56">
        <v>7134</v>
      </c>
      <c r="L50" s="56" t="s">
        <v>226</v>
      </c>
      <c r="M50" s="57" t="s">
        <v>91</v>
      </c>
      <c r="N50" s="57" t="s">
        <v>64</v>
      </c>
      <c r="O50" s="58" t="s">
        <v>208</v>
      </c>
      <c r="P50" s="59" t="s">
        <v>54</v>
      </c>
    </row>
  </sheetData>
  <sheetProtection selectLockedCells="1" selectUnlockedCells="1"/>
  <hyperlinks>
    <hyperlink ref="P13" r:id="rId1" display="IBVS 5378 "/>
    <hyperlink ref="P14" r:id="rId2" display="BAVM 178 "/>
    <hyperlink ref="P15" r:id="rId3" display="IBVS 5672 "/>
    <hyperlink ref="P16" r:id="rId4" display="OEJV 0074 "/>
    <hyperlink ref="P17" r:id="rId5" display="BAVM 183 "/>
    <hyperlink ref="P18" r:id="rId6" display="IBVS 5894 "/>
    <hyperlink ref="P19" r:id="rId7" display="IBVS 5920 "/>
    <hyperlink ref="P20" r:id="rId8" display="IBVS 5960 "/>
    <hyperlink ref="P21" r:id="rId9" display="BAVM 238 "/>
    <hyperlink ref="P44" r:id="rId10" display="IBVS 5809 "/>
    <hyperlink ref="P45" r:id="rId11" display="IBVS 5809 "/>
    <hyperlink ref="P46" r:id="rId12" display="IBVS 5809 "/>
    <hyperlink ref="P47" r:id="rId13" display="IBVS 5809 "/>
    <hyperlink ref="P48" r:id="rId14" display="IBVS 5809 "/>
    <hyperlink ref="P49" r:id="rId15" display="IBVS 5809 "/>
    <hyperlink ref="P50" r:id="rId16" display="IBVS 5809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