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1002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<sst xmlns="http://schemas.openxmlformats.org/spreadsheetml/2006/main" count="155" uniqueCount="98">
  <si>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</si>
  <si>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</si>
  <si>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</si>
  <si>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</si>
  <si>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</si>
  <si>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</si>
  <si>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</si>
  <si>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</si>
  <si>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</si>
  <si>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</si>
  <si>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</si>
  <si>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</si>
  <si>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</si>
  <si>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</si>
  <si>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</si>
  <si>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</si>
  <si>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</si>
  <si>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</si>
  <si>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</si>
  <si>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</si>
  <si>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</si>
  <si>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</si>
  <si>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</si>
  <si>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</si>
  <si>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</si>
  <si>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</si>
  <si>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</si>
  <si>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</si>
  <si>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</si>
  <si>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</si>
  <si>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</si>
  <si>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</si>
  <si>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</si>
  <si>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</si>
  <si>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</si>
  <si>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</si>
  <si>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</si>
  <si>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</si>
  <si>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HY Tau / GSC 1306-0895</t>
  </si>
  <si>
    <t>EA</t>
  </si>
  <si>
    <t>IBVS 5809</t>
  </si>
  <si>
    <t>II</t>
  </si>
  <si>
    <t>GCVS</t>
  </si>
  <si>
    <t>Nelson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</si>
  <si>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</si>
  <si>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</si>
  <si>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</si>
  <si>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</si>
  <si>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</si>
  <si>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</si>
  <si>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</si>
  <si>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</si>
  <si>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</si>
  <si>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</si>
  <si>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</si>
  <si>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2431530.362 </t>
  </si>
  <si>
    <t> 15.03.1945 20:41 </t>
  </si>
  <si>
    <t> 0.057 </t>
  </si>
  <si>
    <t>P </t>
  </si>
  <si>
    <t> B.Müller </t>
  </si>
  <si>
    <t> MVS 718 </t>
  </si>
  <si>
    <t>2431907.351 </t>
  </si>
  <si>
    <t> 27.03.1946 20:25 </t>
  </si>
  <si>
    <t> -0.057 </t>
  </si>
  <si>
    <t>2432118.632 </t>
  </si>
  <si>
    <t> 25.10.1946 03:10 </t>
  </si>
  <si>
    <t> 0.047 </t>
  </si>
  <si>
    <t>2434767.276 </t>
  </si>
  <si>
    <t> 24.01.1954 18:37 </t>
  </si>
  <si>
    <t> -0.077 </t>
  </si>
  <si>
    <t>2434770.298 </t>
  </si>
  <si>
    <t> 27.01.1954 19:09 </t>
  </si>
  <si>
    <t> -0.072 </t>
  </si>
  <si>
    <t>2435131.306 </t>
  </si>
  <si>
    <t> 23.01.1955 19:20 </t>
  </si>
  <si>
    <t> 0.426 </t>
  </si>
  <si>
    <t>2435479.382 </t>
  </si>
  <si>
    <t> 06.01.1956 21:10 </t>
  </si>
  <si>
    <t> 0.060 </t>
  </si>
  <si>
    <t>2436227.601 </t>
  </si>
  <si>
    <t> 24.01.1958 02:25 </t>
  </si>
  <si>
    <t> 0.107 </t>
  </si>
  <si>
    <t>2436586.526 </t>
  </si>
  <si>
    <t> 18.01.1959 00:37 </t>
  </si>
  <si>
    <t> 0.031 </t>
  </si>
  <si>
    <t>2452687.8326 </t>
  </si>
  <si>
    <t> 17.02.2003 07:58 </t>
  </si>
  <si>
    <t> 0.5689 </t>
  </si>
  <si>
    <t>C </t>
  </si>
  <si>
    <t> P.Sobotka (ESA INTEGRAL) </t>
  </si>
  <si>
    <t>IBVS 5809 </t>
  </si>
  <si>
    <t>2455170.7832 </t>
  </si>
  <si>
    <t> 05.12.2009 06:47 </t>
  </si>
  <si>
    <t> 0.6767 </t>
  </si>
  <si>
    <t> R.Nelson </t>
  </si>
  <si>
    <t>IBVS 5929 </t>
  </si>
  <si>
    <t>I</t>
  </si>
  <si>
    <t>IBVS 5929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</si>
</sst>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</c:valAx>
      <c:valAx>
        <c:axId val="3940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699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809" TargetMode="External" /><Relationship Id="rId2" Type="http://schemas.openxmlformats.org/officeDocument/2006/relationships/hyperlink" Target="http://www.konkoly.hu/cgi-bin/IBVS?59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8515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24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31530.305</v>
      </c>
      <c r="D4" s="9">
        <v>3.01682</v>
      </c>
    </row>
    <row r="5" ht="13.5" thickTop="1"/>
    <row r="6" ht="12.75">
      <c r="A6" s="5" t="s">
        <v>1</v>
      </c>
    </row>
    <row r="7" spans="1:3" ht="12.75">
      <c r="A7" t="s">
        <v>2</v>
      </c>
      <c r="C7">
        <f>+C4</f>
        <v>31530.305</v>
      </c>
    </row>
    <row r="8" spans="1:3" ht="12.75">
      <c r="A8" t="s">
        <v>3</v>
      </c>
      <c r="C8">
        <f>+D4</f>
        <v>3.01682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-0.018164364492222446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8.539045222251709E-05</v>
      </c>
      <c r="D12" s="3"/>
      <c r="E12" s="12"/>
    </row>
    <row r="13" spans="1:5" ht="12.75">
      <c r="A13" s="12" t="s">
        <v>19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55170.75747521912</v>
      </c>
      <c r="D15" s="16" t="s">
        <v>33</v>
      </c>
      <c r="E15" s="17">
        <f ca="1">TODAY()+15018.5-B9/24</f>
        <v>59907.5</v>
      </c>
    </row>
    <row r="16" spans="1:5" ht="12.75">
      <c r="A16" s="18" t="s">
        <v>4</v>
      </c>
      <c r="B16" s="12"/>
      <c r="C16" s="19">
        <f>+C8+C12</f>
        <v>3.0169053904522225</v>
      </c>
      <c r="D16" s="16" t="s">
        <v>34</v>
      </c>
      <c r="E16" s="17">
        <f>ROUND(2*(E15-C15)/C16,0)/2+1</f>
        <v>1571</v>
      </c>
    </row>
    <row r="17" spans="1:5" ht="13.5" thickBot="1">
      <c r="A17" s="16" t="s">
        <v>30</v>
      </c>
      <c r="B17" s="12"/>
      <c r="C17" s="12">
        <f>COUNT(C21:C2191)</f>
        <v>12</v>
      </c>
      <c r="D17" s="16" t="s">
        <v>35</v>
      </c>
      <c r="E17" s="20">
        <f>+C15+C16*E16-15018.5-C9/24</f>
        <v>44892.2116769529</v>
      </c>
    </row>
    <row r="18" spans="1:5" ht="14.25" thickBot="1" thickTop="1">
      <c r="A18" s="18" t="s">
        <v>5</v>
      </c>
      <c r="B18" s="12"/>
      <c r="C18" s="21">
        <f>+C15</f>
        <v>55170.75747521912</v>
      </c>
      <c r="D18" s="22">
        <f>+C16</f>
        <v>3.0169053904522225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43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B21" s="3"/>
      <c r="C21" s="10">
        <v>31530.305</v>
      </c>
      <c r="D21" s="10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G21">
        <f aca="true" t="shared" si="2" ref="G21:G32">+C21-(C$7+F21*C$8)</f>
        <v>0</v>
      </c>
      <c r="H21">
        <f>+G21</f>
        <v>0</v>
      </c>
      <c r="O21">
        <f aca="true" t="shared" si="3" ref="O21:O32">+C$11+C$12*$F21</f>
        <v>-0.018164364492222446</v>
      </c>
      <c r="Q21" s="2">
        <f aca="true" t="shared" si="4" ref="Q21:Q32">+C21-15018.5</f>
        <v>16511.805</v>
      </c>
    </row>
    <row r="22" spans="1:17" ht="12.75">
      <c r="A22" s="43" t="s">
        <v>60</v>
      </c>
      <c r="B22" s="44" t="s">
        <v>96</v>
      </c>
      <c r="C22" s="45">
        <v>31530.362</v>
      </c>
      <c r="D22" s="10"/>
      <c r="E22">
        <f t="shared" si="0"/>
        <v>0.01889406726311099</v>
      </c>
      <c r="F22">
        <f t="shared" si="1"/>
        <v>0</v>
      </c>
      <c r="G22">
        <f t="shared" si="2"/>
        <v>0.05700000000069849</v>
      </c>
      <c r="K22">
        <f aca="true" t="shared" si="5" ref="K22:K30">+G22</f>
        <v>0.05700000000069849</v>
      </c>
      <c r="O22">
        <f t="shared" si="3"/>
        <v>-0.018164364492222446</v>
      </c>
      <c r="Q22" s="2">
        <f t="shared" si="4"/>
        <v>16511.862</v>
      </c>
    </row>
    <row r="23" spans="1:17" ht="12.75">
      <c r="A23" s="43" t="s">
        <v>60</v>
      </c>
      <c r="B23" s="44" t="s">
        <v>96</v>
      </c>
      <c r="C23" s="45">
        <v>31907.351</v>
      </c>
      <c r="D23" s="10"/>
      <c r="E23">
        <f t="shared" si="0"/>
        <v>124.98127167016874</v>
      </c>
      <c r="F23">
        <f t="shared" si="1"/>
        <v>125</v>
      </c>
      <c r="G23">
        <f t="shared" si="2"/>
        <v>-0.05650000000241562</v>
      </c>
      <c r="K23">
        <f t="shared" si="5"/>
        <v>-0.05650000000241562</v>
      </c>
      <c r="O23">
        <f t="shared" si="3"/>
        <v>-0.007490557964407809</v>
      </c>
      <c r="Q23" s="2">
        <f t="shared" si="4"/>
        <v>16888.851</v>
      </c>
    </row>
    <row r="24" spans="1:17" ht="12.75">
      <c r="A24" s="43" t="s">
        <v>60</v>
      </c>
      <c r="B24" s="44" t="s">
        <v>96</v>
      </c>
      <c r="C24" s="45">
        <v>32118.632</v>
      </c>
      <c r="D24" s="10"/>
      <c r="E24">
        <f t="shared" si="0"/>
        <v>195.01561246610706</v>
      </c>
      <c r="F24">
        <f t="shared" si="1"/>
        <v>195</v>
      </c>
      <c r="G24">
        <f t="shared" si="2"/>
        <v>0.04709999999977299</v>
      </c>
      <c r="K24">
        <f t="shared" si="5"/>
        <v>0.04709999999977299</v>
      </c>
      <c r="O24">
        <f t="shared" si="3"/>
        <v>-0.0015132263088316125</v>
      </c>
      <c r="Q24" s="2">
        <f t="shared" si="4"/>
        <v>17100.132</v>
      </c>
    </row>
    <row r="25" spans="1:17" ht="12.75">
      <c r="A25" s="43" t="s">
        <v>60</v>
      </c>
      <c r="B25" s="44" t="s">
        <v>96</v>
      </c>
      <c r="C25" s="45">
        <v>34767.276</v>
      </c>
      <c r="D25" s="10"/>
      <c r="E25">
        <f t="shared" si="0"/>
        <v>1072.9745228419322</v>
      </c>
      <c r="F25">
        <f t="shared" si="1"/>
        <v>1073</v>
      </c>
      <c r="G25">
        <f t="shared" si="2"/>
        <v>-0.07686000000103377</v>
      </c>
      <c r="K25">
        <f t="shared" si="5"/>
        <v>-0.07686000000103377</v>
      </c>
      <c r="O25">
        <f t="shared" si="3"/>
        <v>0.0734595907425384</v>
      </c>
      <c r="Q25" s="2">
        <f t="shared" si="4"/>
        <v>19748.775999999998</v>
      </c>
    </row>
    <row r="26" spans="1:17" ht="12.75">
      <c r="A26" s="43" t="s">
        <v>60</v>
      </c>
      <c r="B26" s="44" t="s">
        <v>96</v>
      </c>
      <c r="C26" s="45">
        <v>34770.298</v>
      </c>
      <c r="D26" s="10"/>
      <c r="E26">
        <f t="shared" si="0"/>
        <v>1073.9762398817304</v>
      </c>
      <c r="F26">
        <f t="shared" si="1"/>
        <v>1074</v>
      </c>
      <c r="G26">
        <f t="shared" si="2"/>
        <v>-0.07168000000092434</v>
      </c>
      <c r="K26">
        <f t="shared" si="5"/>
        <v>-0.07168000000092434</v>
      </c>
      <c r="O26">
        <f t="shared" si="3"/>
        <v>0.07354498119476091</v>
      </c>
      <c r="Q26" s="2">
        <f t="shared" si="4"/>
        <v>19751.798000000003</v>
      </c>
    </row>
    <row r="27" spans="1:17" ht="12.75">
      <c r="A27" s="43" t="s">
        <v>60</v>
      </c>
      <c r="B27" s="44" t="s">
        <v>41</v>
      </c>
      <c r="C27" s="45">
        <v>35131.306</v>
      </c>
      <c r="D27" s="10"/>
      <c r="E27">
        <f t="shared" si="0"/>
        <v>1193.6413176788792</v>
      </c>
      <c r="F27">
        <f t="shared" si="1"/>
        <v>1193.5</v>
      </c>
      <c r="G27">
        <f t="shared" si="2"/>
        <v>0.4263299999947776</v>
      </c>
      <c r="K27">
        <f t="shared" si="5"/>
        <v>0.4263299999947776</v>
      </c>
      <c r="O27">
        <f t="shared" si="3"/>
        <v>0.0837491402353517</v>
      </c>
      <c r="Q27" s="2">
        <f t="shared" si="4"/>
        <v>20112.805999999997</v>
      </c>
    </row>
    <row r="28" spans="1:17" ht="12.75">
      <c r="A28" s="43" t="s">
        <v>60</v>
      </c>
      <c r="B28" s="44" t="s">
        <v>96</v>
      </c>
      <c r="C28" s="45">
        <v>35479.382</v>
      </c>
      <c r="D28" s="10"/>
      <c r="E28">
        <f t="shared" si="0"/>
        <v>1309.0197625314063</v>
      </c>
      <c r="F28">
        <f t="shared" si="1"/>
        <v>1309</v>
      </c>
      <c r="G28">
        <f t="shared" si="2"/>
        <v>0.05961999999999534</v>
      </c>
      <c r="K28">
        <f t="shared" si="5"/>
        <v>0.05961999999999534</v>
      </c>
      <c r="O28">
        <f t="shared" si="3"/>
        <v>0.09361173746705242</v>
      </c>
      <c r="Q28" s="2">
        <f t="shared" si="4"/>
        <v>20460.881999999998</v>
      </c>
    </row>
    <row r="29" spans="1:17" ht="12.75">
      <c r="A29" s="43" t="s">
        <v>60</v>
      </c>
      <c r="B29" s="44" t="s">
        <v>96</v>
      </c>
      <c r="C29" s="45">
        <v>36227.601</v>
      </c>
      <c r="D29" s="10"/>
      <c r="E29">
        <f t="shared" si="0"/>
        <v>1557.0355539939412</v>
      </c>
      <c r="F29">
        <f t="shared" si="1"/>
        <v>1557</v>
      </c>
      <c r="G29">
        <f t="shared" si="2"/>
        <v>0.10726000000431668</v>
      </c>
      <c r="K29">
        <f t="shared" si="5"/>
        <v>0.10726000000431668</v>
      </c>
      <c r="O29">
        <f t="shared" si="3"/>
        <v>0.11478856961823666</v>
      </c>
      <c r="Q29" s="2">
        <f t="shared" si="4"/>
        <v>21209.101000000002</v>
      </c>
    </row>
    <row r="30" spans="1:17" ht="12.75">
      <c r="A30" s="43" t="s">
        <v>60</v>
      </c>
      <c r="B30" s="44" t="s">
        <v>96</v>
      </c>
      <c r="C30" s="45">
        <v>36586.526</v>
      </c>
      <c r="D30" s="10"/>
      <c r="E30">
        <f t="shared" si="0"/>
        <v>1676.0101696488348</v>
      </c>
      <c r="F30">
        <f t="shared" si="1"/>
        <v>1676</v>
      </c>
      <c r="G30">
        <f t="shared" si="2"/>
        <v>0.030679999996209517</v>
      </c>
      <c r="K30">
        <f t="shared" si="5"/>
        <v>0.030679999996209517</v>
      </c>
      <c r="O30">
        <f t="shared" si="3"/>
        <v>0.12495003343271618</v>
      </c>
      <c r="Q30" s="2">
        <f t="shared" si="4"/>
        <v>21568.025999999998</v>
      </c>
    </row>
    <row r="31" spans="1:18" ht="12.75">
      <c r="A31" t="s">
        <v>40</v>
      </c>
      <c r="B31" s="3" t="s">
        <v>41</v>
      </c>
      <c r="C31" s="29">
        <v>52687.8326</v>
      </c>
      <c r="D31" s="29">
        <v>0.0009</v>
      </c>
      <c r="E31">
        <f t="shared" si="0"/>
        <v>7013.188589309273</v>
      </c>
      <c r="F31">
        <f t="shared" si="1"/>
        <v>7013</v>
      </c>
      <c r="G31">
        <f t="shared" si="2"/>
        <v>0.5689400000046589</v>
      </c>
      <c r="I31">
        <f>+G31</f>
        <v>0.5689400000046589</v>
      </c>
      <c r="O31">
        <f t="shared" si="3"/>
        <v>0.5806788769442899</v>
      </c>
      <c r="Q31" s="2">
        <f t="shared" si="4"/>
        <v>37669.3326</v>
      </c>
      <c r="R31">
        <f>IF(ABS(C31-C30)&lt;0.00001,1,"")</f>
      </c>
    </row>
    <row r="32" spans="1:17" ht="12.75">
      <c r="A32" s="5" t="s">
        <v>97</v>
      </c>
      <c r="B32" s="3"/>
      <c r="C32" s="10">
        <v>55170.7832</v>
      </c>
      <c r="D32" s="10">
        <v>0.0003</v>
      </c>
      <c r="E32">
        <f t="shared" si="0"/>
        <v>7836.224302411148</v>
      </c>
      <c r="F32">
        <f t="shared" si="1"/>
        <v>7836</v>
      </c>
      <c r="G32">
        <f t="shared" si="2"/>
        <v>0.6766799999968498</v>
      </c>
      <c r="J32">
        <f>+G32</f>
        <v>0.6766799999968498</v>
      </c>
      <c r="O32">
        <f t="shared" si="3"/>
        <v>0.6509552191234215</v>
      </c>
      <c r="Q32" s="2">
        <f t="shared" si="4"/>
        <v>40152.2832</v>
      </c>
    </row>
    <row r="33" spans="2:17" ht="12.75">
      <c r="B33" s="3"/>
      <c r="C33" s="10"/>
      <c r="D33" s="10"/>
      <c r="Q33" s="2"/>
    </row>
    <row r="34" spans="2:4" ht="12.75">
      <c r="B34" s="3"/>
      <c r="C34" s="10"/>
      <c r="D34" s="10"/>
    </row>
    <row r="35" spans="2:4" ht="12.75">
      <c r="B35" s="3"/>
      <c r="C35" s="10"/>
      <c r="D35" s="10"/>
    </row>
    <row r="36" spans="2:4" ht="12.75">
      <c r="B36" s="3"/>
      <c r="C36" s="10"/>
      <c r="D36" s="10"/>
    </row>
    <row r="37" spans="2:4" ht="12.75">
      <c r="B37" s="3"/>
      <c r="C37" s="10"/>
      <c r="D37" s="10"/>
    </row>
    <row r="38" spans="2:4" ht="12.75">
      <c r="B38" s="3"/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8"/>
  <sheetViews>
    <sheetView zoomScalePageLayoutView="0" workbookViewId="0" topLeftCell="A1">
      <selection activeCell="A13" sqref="A13:C2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0" t="s">
        <v>44</v>
      </c>
      <c r="I1" s="31" t="s">
        <v>45</v>
      </c>
      <c r="J1" s="32" t="s">
        <v>46</v>
      </c>
    </row>
    <row r="2" spans="9:10" ht="12.75">
      <c r="I2" s="33" t="s">
        <v>47</v>
      </c>
      <c r="J2" s="34" t="s">
        <v>48</v>
      </c>
    </row>
    <row r="3" spans="1:10" ht="12.75">
      <c r="A3" s="35" t="s">
        <v>49</v>
      </c>
      <c r="I3" s="33" t="s">
        <v>50</v>
      </c>
      <c r="J3" s="34" t="s">
        <v>51</v>
      </c>
    </row>
    <row r="4" spans="9:10" ht="12.75">
      <c r="I4" s="33" t="s">
        <v>52</v>
      </c>
      <c r="J4" s="34" t="s">
        <v>51</v>
      </c>
    </row>
    <row r="5" spans="9:10" ht="13.5" thickBot="1">
      <c r="I5" s="36" t="s">
        <v>53</v>
      </c>
      <c r="J5" s="37" t="s">
        <v>54</v>
      </c>
    </row>
    <row r="10" ht="13.5" thickBot="1"/>
    <row r="11" spans="1:16" ht="12.75" customHeight="1" thickBot="1">
      <c r="A11" s="10" t="str">
        <f aca="true" t="shared" si="0" ref="A11:A21">P11</f>
        <v>IBVS 5809 </v>
      </c>
      <c r="B11" s="3" t="str">
        <f aca="true" t="shared" si="1" ref="B11:B21">IF(H11=INT(H11),"I","II")</f>
        <v>I</v>
      </c>
      <c r="C11" s="10">
        <f aca="true" t="shared" si="2" ref="C11:C21">1*G11</f>
        <v>52687.8326</v>
      </c>
      <c r="D11" s="12" t="str">
        <f aca="true" t="shared" si="3" ref="D11:D21">VLOOKUP(F11,I$1:J$5,2,FALSE)</f>
        <v>vis</v>
      </c>
      <c r="E11" s="38">
        <f>VLOOKUP(C11,A!C$21:E$973,3,FALSE)</f>
        <v>7013.188589309273</v>
      </c>
      <c r="F11" s="3" t="s">
        <v>53</v>
      </c>
      <c r="G11" s="12" t="str">
        <f aca="true" t="shared" si="4" ref="G11:G21">MID(I11,3,LEN(I11)-3)</f>
        <v>52687.8326</v>
      </c>
      <c r="H11" s="10">
        <f aca="true" t="shared" si="5" ref="H11:H21">1*K11</f>
        <v>7013</v>
      </c>
      <c r="I11" s="39" t="s">
        <v>85</v>
      </c>
      <c r="J11" s="40" t="s">
        <v>86</v>
      </c>
      <c r="K11" s="39">
        <v>7013</v>
      </c>
      <c r="L11" s="39" t="s">
        <v>87</v>
      </c>
      <c r="M11" s="40" t="s">
        <v>88</v>
      </c>
      <c r="N11" s="40" t="s">
        <v>53</v>
      </c>
      <c r="O11" s="41" t="s">
        <v>89</v>
      </c>
      <c r="P11" s="42" t="s">
        <v>90</v>
      </c>
    </row>
    <row r="12" spans="1:16" ht="12.75" customHeight="1" thickBot="1">
      <c r="A12" s="10" t="str">
        <f t="shared" si="0"/>
        <v>IBVS 5929 </v>
      </c>
      <c r="B12" s="3" t="str">
        <f t="shared" si="1"/>
        <v>I</v>
      </c>
      <c r="C12" s="10">
        <f t="shared" si="2"/>
        <v>55170.7832</v>
      </c>
      <c r="D12" s="12" t="str">
        <f t="shared" si="3"/>
        <v>vis</v>
      </c>
      <c r="E12" s="38">
        <f>VLOOKUP(C12,A!C$21:E$973,3,FALSE)</f>
        <v>7836.224302411148</v>
      </c>
      <c r="F12" s="3" t="s">
        <v>53</v>
      </c>
      <c r="G12" s="12" t="str">
        <f t="shared" si="4"/>
        <v>55170.7832</v>
      </c>
      <c r="H12" s="10">
        <f t="shared" si="5"/>
        <v>7836</v>
      </c>
      <c r="I12" s="39" t="s">
        <v>91</v>
      </c>
      <c r="J12" s="40" t="s">
        <v>92</v>
      </c>
      <c r="K12" s="39">
        <v>7836</v>
      </c>
      <c r="L12" s="39" t="s">
        <v>93</v>
      </c>
      <c r="M12" s="40" t="s">
        <v>88</v>
      </c>
      <c r="N12" s="40" t="s">
        <v>45</v>
      </c>
      <c r="O12" s="41" t="s">
        <v>94</v>
      </c>
      <c r="P12" s="42" t="s">
        <v>95</v>
      </c>
    </row>
    <row r="13" spans="1:16" ht="12.75" customHeight="1" thickBot="1">
      <c r="A13" s="10" t="str">
        <f t="shared" si="0"/>
        <v> MVS 718 </v>
      </c>
      <c r="B13" s="3" t="str">
        <f t="shared" si="1"/>
        <v>I</v>
      </c>
      <c r="C13" s="10">
        <f t="shared" si="2"/>
        <v>31530.362</v>
      </c>
      <c r="D13" s="12" t="str">
        <f t="shared" si="3"/>
        <v>vis</v>
      </c>
      <c r="E13" s="38">
        <f>VLOOKUP(C13,A!C$21:E$973,3,FALSE)</f>
        <v>0.01889406726311099</v>
      </c>
      <c r="F13" s="3" t="s">
        <v>53</v>
      </c>
      <c r="G13" s="12" t="str">
        <f t="shared" si="4"/>
        <v>31530.362</v>
      </c>
      <c r="H13" s="10">
        <f t="shared" si="5"/>
        <v>0</v>
      </c>
      <c r="I13" s="39" t="s">
        <v>55</v>
      </c>
      <c r="J13" s="40" t="s">
        <v>56</v>
      </c>
      <c r="K13" s="39">
        <v>0</v>
      </c>
      <c r="L13" s="39" t="s">
        <v>57</v>
      </c>
      <c r="M13" s="40" t="s">
        <v>58</v>
      </c>
      <c r="N13" s="40"/>
      <c r="O13" s="41" t="s">
        <v>59</v>
      </c>
      <c r="P13" s="41" t="s">
        <v>60</v>
      </c>
    </row>
    <row r="14" spans="1:16" ht="12.75" customHeight="1" thickBot="1">
      <c r="A14" s="10" t="str">
        <f t="shared" si="0"/>
        <v> MVS 718 </v>
      </c>
      <c r="B14" s="3" t="str">
        <f t="shared" si="1"/>
        <v>I</v>
      </c>
      <c r="C14" s="10">
        <f t="shared" si="2"/>
        <v>31907.351</v>
      </c>
      <c r="D14" s="12" t="str">
        <f t="shared" si="3"/>
        <v>vis</v>
      </c>
      <c r="E14" s="38">
        <f>VLOOKUP(C14,A!C$21:E$973,3,FALSE)</f>
        <v>124.98127167016874</v>
      </c>
      <c r="F14" s="3" t="s">
        <v>53</v>
      </c>
      <c r="G14" s="12" t="str">
        <f t="shared" si="4"/>
        <v>31907.351</v>
      </c>
      <c r="H14" s="10">
        <f t="shared" si="5"/>
        <v>125</v>
      </c>
      <c r="I14" s="39" t="s">
        <v>61</v>
      </c>
      <c r="J14" s="40" t="s">
        <v>62</v>
      </c>
      <c r="K14" s="39">
        <v>125</v>
      </c>
      <c r="L14" s="39" t="s">
        <v>63</v>
      </c>
      <c r="M14" s="40" t="s">
        <v>58</v>
      </c>
      <c r="N14" s="40"/>
      <c r="O14" s="41" t="s">
        <v>59</v>
      </c>
      <c r="P14" s="41" t="s">
        <v>60</v>
      </c>
    </row>
    <row r="15" spans="1:16" ht="12.75" customHeight="1" thickBot="1">
      <c r="A15" s="10" t="str">
        <f t="shared" si="0"/>
        <v> MVS 718 </v>
      </c>
      <c r="B15" s="3" t="str">
        <f t="shared" si="1"/>
        <v>I</v>
      </c>
      <c r="C15" s="10">
        <f t="shared" si="2"/>
        <v>32118.632</v>
      </c>
      <c r="D15" s="12" t="str">
        <f t="shared" si="3"/>
        <v>vis</v>
      </c>
      <c r="E15" s="38">
        <f>VLOOKUP(C15,A!C$21:E$973,3,FALSE)</f>
        <v>195.01561246610706</v>
      </c>
      <c r="F15" s="3" t="s">
        <v>53</v>
      </c>
      <c r="G15" s="12" t="str">
        <f t="shared" si="4"/>
        <v>32118.632</v>
      </c>
      <c r="H15" s="10">
        <f t="shared" si="5"/>
        <v>195</v>
      </c>
      <c r="I15" s="39" t="s">
        <v>64</v>
      </c>
      <c r="J15" s="40" t="s">
        <v>65</v>
      </c>
      <c r="K15" s="39">
        <v>195</v>
      </c>
      <c r="L15" s="39" t="s">
        <v>66</v>
      </c>
      <c r="M15" s="40" t="s">
        <v>58</v>
      </c>
      <c r="N15" s="40"/>
      <c r="O15" s="41" t="s">
        <v>59</v>
      </c>
      <c r="P15" s="41" t="s">
        <v>60</v>
      </c>
    </row>
    <row r="16" spans="1:16" ht="12.75" customHeight="1" thickBot="1">
      <c r="A16" s="10" t="str">
        <f t="shared" si="0"/>
        <v> MVS 718 </v>
      </c>
      <c r="B16" s="3" t="str">
        <f t="shared" si="1"/>
        <v>I</v>
      </c>
      <c r="C16" s="10">
        <f t="shared" si="2"/>
        <v>34767.276</v>
      </c>
      <c r="D16" s="12" t="str">
        <f t="shared" si="3"/>
        <v>vis</v>
      </c>
      <c r="E16" s="38">
        <f>VLOOKUP(C16,A!C$21:E$973,3,FALSE)</f>
        <v>1072.9745228419322</v>
      </c>
      <c r="F16" s="3" t="s">
        <v>53</v>
      </c>
      <c r="G16" s="12" t="str">
        <f t="shared" si="4"/>
        <v>34767.276</v>
      </c>
      <c r="H16" s="10">
        <f t="shared" si="5"/>
        <v>1073</v>
      </c>
      <c r="I16" s="39" t="s">
        <v>67</v>
      </c>
      <c r="J16" s="40" t="s">
        <v>68</v>
      </c>
      <c r="K16" s="39">
        <v>1073</v>
      </c>
      <c r="L16" s="39" t="s">
        <v>69</v>
      </c>
      <c r="M16" s="40" t="s">
        <v>58</v>
      </c>
      <c r="N16" s="40"/>
      <c r="O16" s="41" t="s">
        <v>59</v>
      </c>
      <c r="P16" s="41" t="s">
        <v>60</v>
      </c>
    </row>
    <row r="17" spans="1:16" ht="12.75" customHeight="1" thickBot="1">
      <c r="A17" s="10" t="str">
        <f t="shared" si="0"/>
        <v> MVS 718 </v>
      </c>
      <c r="B17" s="3" t="str">
        <f t="shared" si="1"/>
        <v>I</v>
      </c>
      <c r="C17" s="10">
        <f t="shared" si="2"/>
        <v>34770.298</v>
      </c>
      <c r="D17" s="12" t="str">
        <f t="shared" si="3"/>
        <v>vis</v>
      </c>
      <c r="E17" s="38">
        <f>VLOOKUP(C17,A!C$21:E$973,3,FALSE)</f>
        <v>1073.9762398817304</v>
      </c>
      <c r="F17" s="3" t="s">
        <v>53</v>
      </c>
      <c r="G17" s="12" t="str">
        <f t="shared" si="4"/>
        <v>34770.298</v>
      </c>
      <c r="H17" s="10">
        <f t="shared" si="5"/>
        <v>1074</v>
      </c>
      <c r="I17" s="39" t="s">
        <v>70</v>
      </c>
      <c r="J17" s="40" t="s">
        <v>71</v>
      </c>
      <c r="K17" s="39">
        <v>1074</v>
      </c>
      <c r="L17" s="39" t="s">
        <v>72</v>
      </c>
      <c r="M17" s="40" t="s">
        <v>58</v>
      </c>
      <c r="N17" s="40"/>
      <c r="O17" s="41" t="s">
        <v>59</v>
      </c>
      <c r="P17" s="41" t="s">
        <v>60</v>
      </c>
    </row>
    <row r="18" spans="1:16" ht="12.75" customHeight="1" thickBot="1">
      <c r="A18" s="10" t="str">
        <f t="shared" si="0"/>
        <v> MVS 718 </v>
      </c>
      <c r="B18" s="3" t="str">
        <f t="shared" si="1"/>
        <v>II</v>
      </c>
      <c r="C18" s="10">
        <f t="shared" si="2"/>
        <v>35131.306</v>
      </c>
      <c r="D18" s="12" t="str">
        <f t="shared" si="3"/>
        <v>vis</v>
      </c>
      <c r="E18" s="38">
        <f>VLOOKUP(C18,A!C$21:E$973,3,FALSE)</f>
        <v>1193.6413176788792</v>
      </c>
      <c r="F18" s="3" t="s">
        <v>53</v>
      </c>
      <c r="G18" s="12" t="str">
        <f t="shared" si="4"/>
        <v>35131.306</v>
      </c>
      <c r="H18" s="10">
        <f t="shared" si="5"/>
        <v>1193.5</v>
      </c>
      <c r="I18" s="39" t="s">
        <v>73</v>
      </c>
      <c r="J18" s="40" t="s">
        <v>74</v>
      </c>
      <c r="K18" s="39">
        <v>1193.5</v>
      </c>
      <c r="L18" s="39" t="s">
        <v>75</v>
      </c>
      <c r="M18" s="40" t="s">
        <v>58</v>
      </c>
      <c r="N18" s="40"/>
      <c r="O18" s="41" t="s">
        <v>59</v>
      </c>
      <c r="P18" s="41" t="s">
        <v>60</v>
      </c>
    </row>
    <row r="19" spans="1:16" ht="12.75" customHeight="1" thickBot="1">
      <c r="A19" s="10" t="str">
        <f t="shared" si="0"/>
        <v> MVS 718 </v>
      </c>
      <c r="B19" s="3" t="str">
        <f t="shared" si="1"/>
        <v>I</v>
      </c>
      <c r="C19" s="10">
        <f t="shared" si="2"/>
        <v>35479.382</v>
      </c>
      <c r="D19" s="12" t="str">
        <f t="shared" si="3"/>
        <v>vis</v>
      </c>
      <c r="E19" s="38">
        <f>VLOOKUP(C19,A!C$21:E$973,3,FALSE)</f>
        <v>1309.0197625314063</v>
      </c>
      <c r="F19" s="3" t="s">
        <v>53</v>
      </c>
      <c r="G19" s="12" t="str">
        <f t="shared" si="4"/>
        <v>35479.382</v>
      </c>
      <c r="H19" s="10">
        <f t="shared" si="5"/>
        <v>1309</v>
      </c>
      <c r="I19" s="39" t="s">
        <v>76</v>
      </c>
      <c r="J19" s="40" t="s">
        <v>77</v>
      </c>
      <c r="K19" s="39">
        <v>1309</v>
      </c>
      <c r="L19" s="39" t="s">
        <v>78</v>
      </c>
      <c r="M19" s="40" t="s">
        <v>58</v>
      </c>
      <c r="N19" s="40"/>
      <c r="O19" s="41" t="s">
        <v>59</v>
      </c>
      <c r="P19" s="41" t="s">
        <v>60</v>
      </c>
    </row>
    <row r="20" spans="1:16" ht="12.75" customHeight="1" thickBot="1">
      <c r="A20" s="10" t="str">
        <f t="shared" si="0"/>
        <v> MVS 718 </v>
      </c>
      <c r="B20" s="3" t="str">
        <f t="shared" si="1"/>
        <v>I</v>
      </c>
      <c r="C20" s="10">
        <f t="shared" si="2"/>
        <v>36227.601</v>
      </c>
      <c r="D20" s="12" t="str">
        <f t="shared" si="3"/>
        <v>vis</v>
      </c>
      <c r="E20" s="38">
        <f>VLOOKUP(C20,A!C$21:E$973,3,FALSE)</f>
        <v>1557.0355539939412</v>
      </c>
      <c r="F20" s="3" t="s">
        <v>53</v>
      </c>
      <c r="G20" s="12" t="str">
        <f t="shared" si="4"/>
        <v>36227.601</v>
      </c>
      <c r="H20" s="10">
        <f t="shared" si="5"/>
        <v>1557</v>
      </c>
      <c r="I20" s="39" t="s">
        <v>79</v>
      </c>
      <c r="J20" s="40" t="s">
        <v>80</v>
      </c>
      <c r="K20" s="39">
        <v>1557</v>
      </c>
      <c r="L20" s="39" t="s">
        <v>81</v>
      </c>
      <c r="M20" s="40" t="s">
        <v>58</v>
      </c>
      <c r="N20" s="40"/>
      <c r="O20" s="41" t="s">
        <v>59</v>
      </c>
      <c r="P20" s="41" t="s">
        <v>60</v>
      </c>
    </row>
    <row r="21" spans="1:16" ht="12.75" customHeight="1" thickBot="1">
      <c r="A21" s="10" t="str">
        <f t="shared" si="0"/>
        <v> MVS 718 </v>
      </c>
      <c r="B21" s="3" t="str">
        <f t="shared" si="1"/>
        <v>I</v>
      </c>
      <c r="C21" s="10">
        <f t="shared" si="2"/>
        <v>36586.526</v>
      </c>
      <c r="D21" s="12" t="str">
        <f t="shared" si="3"/>
        <v>vis</v>
      </c>
      <c r="E21" s="38">
        <f>VLOOKUP(C21,A!C$21:E$973,3,FALSE)</f>
        <v>1676.0101696488348</v>
      </c>
      <c r="F21" s="3" t="s">
        <v>53</v>
      </c>
      <c r="G21" s="12" t="str">
        <f t="shared" si="4"/>
        <v>36586.526</v>
      </c>
      <c r="H21" s="10">
        <f t="shared" si="5"/>
        <v>1676</v>
      </c>
      <c r="I21" s="39" t="s">
        <v>82</v>
      </c>
      <c r="J21" s="40" t="s">
        <v>83</v>
      </c>
      <c r="K21" s="39">
        <v>1676</v>
      </c>
      <c r="L21" s="39" t="s">
        <v>84</v>
      </c>
      <c r="M21" s="40" t="s">
        <v>58</v>
      </c>
      <c r="N21" s="40"/>
      <c r="O21" s="41" t="s">
        <v>59</v>
      </c>
      <c r="P21" s="41" t="s">
        <v>60</v>
      </c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</sheetData>
  <sheetProtection/>
  <hyperlinks>
    <hyperlink ref="P11" r:id="rId1" display="http://www.konkoly.hu/cgi-bin/IBVS?5809"/>
    <hyperlink ref="P12" r:id="rId2" display="http://www.konkoly.hu/cgi-bin/IBVS?59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