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ctive 1" sheetId="1" r:id="rId1"/>
    <sheet name="Active 2" sheetId="2" r:id="rId2"/>
    <sheet name="Active 3" sheetId="3" r:id="rId3"/>
  </sheets>
  <definedNames/>
  <calcPr fullCalcOnLoad="1"/>
</workbook>
</file>

<file path=xl/sharedStrings.xml><?xml version="1.0" encoding="utf-8"?>
<sst xmlns="http://schemas.openxmlformats.org/spreadsheetml/2006/main" count="260" uniqueCount="61">
  <si>
    <t>V1234 Tau / GSC 0669-0674</t>
  </si>
  <si>
    <t>System Type:</t>
  </si>
  <si>
    <t>EW/KW</t>
  </si>
  <si>
    <t>GCVS 4 Eph.</t>
  </si>
  <si>
    <t>not avail.</t>
  </si>
  <si>
    <t>--- Working ----</t>
  </si>
  <si>
    <t>Epoch =</t>
  </si>
  <si>
    <t>IBVS</t>
  </si>
  <si>
    <t>Period =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</si>
  <si>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</si>
  <si>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</si>
  <si>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</si>
  <si>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</si>
  <si>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</si>
  <si>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</si>
  <si>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</si>
  <si>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</si>
  <si>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</si>
  <si>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JD today</t>
  </si>
  <si>
    <t>New Period =</t>
  </si>
  <si>
    <t>New Cycle</t>
  </si>
  <si>
    <t># of data points:</t>
  </si>
  <si>
    <t>Next ToM</t>
  </si>
  <si>
    <t>New Ephemeris =</t>
  </si>
  <si>
    <t>Local time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</si>
  <si>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</si>
  <si>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</si>
  <si>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</si>
  <si>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</si>
  <si>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</si>
  <si>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</si>
  <si>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</si>
  <si>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</si>
  <si>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GCVS 4</t>
  </si>
  <si>
    <t>OEJV</t>
  </si>
  <si>
    <t>S4</t>
  </si>
  <si>
    <t>S5</t>
  </si>
  <si>
    <t>S6</t>
  </si>
  <si>
    <t>Misc</t>
  </si>
  <si>
    <t>Lin Fit</t>
  </si>
  <si>
    <t>Q. Fit</t>
  </si>
  <si>
    <t>Date</t>
  </si>
  <si>
    <t>IBVS 5484</t>
  </si>
  <si>
    <t>II</t>
  </si>
  <si>
    <t>IBVS 5260</t>
  </si>
  <si>
    <t>I</t>
  </si>
  <si>
    <t>IBVS 5871</t>
  </si>
  <si>
    <t>OEJV 0094</t>
  </si>
  <si>
    <t>OEJV 0107</t>
  </si>
  <si>
    <t>Add cycle</t>
  </si>
  <si>
    <t>Old Cycle</t>
  </si>
  <si>
    <t>pg</t>
  </si>
  <si>
    <t>vis</t>
  </si>
  <si>
    <t>PE</t>
  </si>
  <si>
    <t>CCD</t>
  </si>
  <si>
    <t>JAVSO..42..426</t>
  </si>
  <si>
    <t>OEJV 0179</t>
  </si>
  <si>
    <t>JAVSO..44…69</t>
  </si>
  <si>
    <t>VSB-064</t>
  </si>
  <si>
    <t>V</t>
  </si>
  <si>
    <t>OEJV 0211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</si>
</sst>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mm/dd/yy\ hh:mm\ AM/PM"/>
    <numFmt numFmtId="168" formatCode="0.0000"/>
    <numFmt numFmtId="169" formatCode="dd/mmd/yyyy"/>
    <numFmt numFmtId="170" formatCode="dd/mm/yyyy"/>
  </numFmts>
  <fonts count="47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30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5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12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/>
    </xf>
    <xf numFmtId="167" fontId="5" fillId="0" borderId="0" xfId="0" applyNumberFormat="1" applyFont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10" fillId="34" borderId="0" xfId="0" applyFont="1" applyFill="1" applyAlignment="1">
      <alignment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7" fillId="0" borderId="0" xfId="59" applyFont="1" applyAlignment="1">
      <alignment horizontal="left"/>
      <protection/>
    </xf>
    <xf numFmtId="0" fontId="11" fillId="0" borderId="0" xfId="60" applyFont="1" applyAlignment="1">
      <alignment horizontal="left" vertical="center"/>
      <protection/>
    </xf>
    <xf numFmtId="0" fontId="11" fillId="0" borderId="0" xfId="60" applyFont="1" applyAlignment="1">
      <alignment horizontal="center" vertical="center"/>
      <protection/>
    </xf>
    <xf numFmtId="0" fontId="11" fillId="0" borderId="0" xfId="60" applyFont="1" applyAlignment="1">
      <alignment horizontal="left"/>
      <protection/>
    </xf>
    <xf numFmtId="0" fontId="11" fillId="0" borderId="0" xfId="60" applyFont="1" applyBorder="1" applyAlignment="1">
      <alignment horizontal="center"/>
      <protection/>
    </xf>
    <xf numFmtId="168" fontId="11" fillId="0" borderId="0" xfId="60" applyNumberFormat="1" applyFont="1" applyFill="1" applyBorder="1" applyAlignment="1" applyProtection="1">
      <alignment horizontal="left" vertical="top"/>
      <protection/>
    </xf>
    <xf numFmtId="0" fontId="11" fillId="0" borderId="0" xfId="60" applyNumberFormat="1" applyFont="1" applyFill="1" applyBorder="1" applyAlignment="1" applyProtection="1">
      <alignment horizontal="left" vertical="top"/>
      <protection/>
    </xf>
    <xf numFmtId="0" fontId="5" fillId="35" borderId="0" xfId="0" applyFont="1" applyFill="1" applyAlignment="1">
      <alignment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 horizontal="left"/>
      <protection/>
    </xf>
    <xf numFmtId="170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rmal_A (2)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V1234 Tau - O-C Diagr.</a:t>
            </a:r>
          </a:p>
        </c:rich>
      </c:tx>
      <c:layout>
        <c:manualLayout>
          <c:xMode val="factor"/>
          <c:yMode val="factor"/>
          <c:x val="-0.008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9375"/>
          <c:w val="0.903"/>
          <c:h val="0.6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'Active 1'!$F$21:$F$31</c:f>
              <c:numCache/>
            </c:numRef>
          </c:xVal>
          <c:yVal>
            <c:numRef>
              <c:f>'Active 1'!$H$21:$H$31</c:f>
              <c:numCache/>
            </c:numRef>
          </c:yVal>
          <c:smooth val="0"/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'Active 1'!$F$21:$F$31</c:f>
              <c:numCache/>
            </c:numRef>
          </c:xVal>
          <c:yVal>
            <c:numRef>
              <c:f>'Active 1'!$I$21:$I$31</c:f>
              <c:numCache/>
            </c:numRef>
          </c:yVal>
          <c:smooth val="0"/>
        </c:ser>
        <c:ser>
          <c:idx val="2"/>
          <c:order val="2"/>
          <c:tx>
            <c:strRef>
              <c:f>'Active 1'!$J$20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'Active 1'!$F$21:$F$31</c:f>
              <c:numCache/>
            </c:numRef>
          </c:xVal>
          <c:yVal>
            <c:numRef>
              <c:f>'Active 1'!$J$21:$J$31</c:f>
              <c:numCache/>
            </c:numRef>
          </c:yVal>
          <c:smooth val="0"/>
        </c:ser>
        <c:ser>
          <c:idx val="3"/>
          <c:order val="3"/>
          <c:tx>
            <c:strRef>
              <c:f>'Active 1'!$K$20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'Active 1'!$F$21:$F$31</c:f>
              <c:numCache/>
            </c:numRef>
          </c:xVal>
          <c:yVal>
            <c:numRef>
              <c:f>'Active 1'!$K$21:$K$31</c:f>
              <c:numCache/>
            </c:numRef>
          </c:yVal>
          <c:smooth val="0"/>
        </c:ser>
        <c:ser>
          <c:idx val="4"/>
          <c:order val="4"/>
          <c:tx>
            <c:strRef>
              <c:f>'Active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'Active 1'!$F$21:$F$31</c:f>
              <c:numCache/>
            </c:numRef>
          </c:xVal>
          <c:yVal>
            <c:numRef>
              <c:f>'Active 1'!$L$21:$L$31</c:f>
              <c:numCache/>
            </c:numRef>
          </c:yVal>
          <c:smooth val="0"/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'Active 1'!$F$21:$F$31</c:f>
              <c:numCache/>
            </c:numRef>
          </c:xVal>
          <c:yVal>
            <c:numRef>
              <c:f>'Active 1'!$M$21:$M$31</c:f>
              <c:numCache/>
            </c:numRef>
          </c:yVal>
          <c:smooth val="0"/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'Active 1'!$F$21:$F$31</c:f>
              <c:numCache/>
            </c:numRef>
          </c:xVal>
          <c:yVal>
            <c:numRef>
              <c:f>'Active 1'!$N$21:$N$31</c:f>
              <c:numCache/>
            </c:numRef>
          </c:yVal>
          <c:smooth val="0"/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1'!$F$21:$F$31</c:f>
              <c:numCache/>
            </c:numRef>
          </c:xVal>
          <c:yVal>
            <c:numRef>
              <c:f>'Active 1'!$O$21:$O$31</c:f>
              <c:numCache/>
            </c:numRef>
          </c:yVal>
          <c:smooth val="0"/>
        </c:ser>
        <c:axId val="23194677"/>
        <c:axId val="7425502"/>
      </c:scatterChart>
      <c:valAx>
        <c:axId val="23194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25502"/>
        <c:crossesAt val="0"/>
        <c:crossBetween val="midCat"/>
        <c:dispUnits/>
      </c:valAx>
      <c:valAx>
        <c:axId val="7425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94677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4"/>
          <c:y val="0.92275"/>
          <c:w val="0.75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V1234 Tau - O-C Diagr.</a:t>
            </a:r>
          </a:p>
        </c:rich>
      </c:tx>
      <c:layout>
        <c:manualLayout>
          <c:xMode val="factor"/>
          <c:yMode val="factor"/>
          <c:x val="-0.00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225"/>
          <c:w val="0.90225"/>
          <c:h val="0.6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'Active 2'!$F$21:$F$38</c:f>
              <c:numCache/>
            </c:numRef>
          </c:xVal>
          <c:yVal>
            <c:numRef>
              <c:f>'Active 2'!$H$21:$H$38</c:f>
              <c:numCache/>
            </c:numRef>
          </c:yVal>
          <c:smooth val="0"/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'Active 2'!$F$21:$F$38</c:f>
              <c:numCache/>
            </c:numRef>
          </c:xVal>
          <c:yVal>
            <c:numRef>
              <c:f>'Active 2'!$I$21:$I$38</c:f>
              <c:numCache/>
            </c:numRef>
          </c:yVal>
          <c:smooth val="0"/>
        </c:ser>
        <c:ser>
          <c:idx val="2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'Active 2'!$F$21:$F$38</c:f>
              <c:numCache/>
            </c:numRef>
          </c:xVal>
          <c:yVal>
            <c:numRef>
              <c:f>'Active 2'!$J$21:$J$38</c:f>
              <c:numCache/>
            </c:numRef>
          </c:yVal>
          <c:smooth val="0"/>
        </c:ser>
        <c:ser>
          <c:idx val="3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2'!$F$21:$F$38</c:f>
              <c:numCache/>
            </c:numRef>
          </c:xVal>
          <c:yVal>
            <c:numRef>
              <c:f>'Active 2'!$K$21:$K$38</c:f>
              <c:numCache/>
            </c:numRef>
          </c:yVal>
          <c:smooth val="0"/>
        </c:ser>
        <c:ser>
          <c:idx val="4"/>
          <c:order val="4"/>
          <c:tx>
            <c:strRef>
              <c:f>'Active 2'!$L$20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'Active 2'!$F$21:$F$38</c:f>
              <c:numCache/>
            </c:numRef>
          </c:xVal>
          <c:yVal>
            <c:numRef>
              <c:f>'Active 2'!$L$21:$L$38</c:f>
              <c:numCache/>
            </c:numRef>
          </c:yVal>
          <c:smooth val="0"/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'Active 2'!$F$21:$F$38</c:f>
              <c:numCache/>
            </c:numRef>
          </c:xVal>
          <c:yVal>
            <c:numRef>
              <c:f>'Active 2'!$M$21:$M$38</c:f>
              <c:numCache/>
            </c:numRef>
          </c:yVal>
          <c:smooth val="0"/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'Active 2'!$F$21:$F$38</c:f>
              <c:numCache/>
            </c:numRef>
          </c:xVal>
          <c:yVal>
            <c:numRef>
              <c:f>'Active 2'!$N$21:$N$38</c:f>
              <c:numCache/>
            </c:numRef>
          </c:yVal>
          <c:smooth val="0"/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2'!$F$21:$F$38</c:f>
              <c:numCache/>
            </c:numRef>
          </c:xVal>
          <c:yVal>
            <c:numRef>
              <c:f>'Active 2'!$O$21:$O$38</c:f>
              <c:numCache/>
            </c:numRef>
          </c:yVal>
          <c:smooth val="0"/>
        </c:ser>
        <c:axId val="66829519"/>
        <c:axId val="64594760"/>
      </c:scatterChart>
      <c:valAx>
        <c:axId val="66829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94760"/>
        <c:crossesAt val="0"/>
        <c:crossBetween val="midCat"/>
        <c:dispUnits/>
      </c:valAx>
      <c:valAx>
        <c:axId val="64594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29519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025"/>
          <c:y val="0.92275"/>
          <c:w val="0.687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V1234 Tau - O-C Diagr.</a:t>
            </a:r>
          </a:p>
        </c:rich>
      </c:tx>
      <c:layout>
        <c:manualLayout>
          <c:xMode val="factor"/>
          <c:yMode val="factor"/>
          <c:x val="-0.00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225"/>
          <c:w val="0.90225"/>
          <c:h val="0.6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3'!$H$20:$H$20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'Active 3'!$F$21:$F$41</c:f>
              <c:numCache/>
            </c:numRef>
          </c:xVal>
          <c:yVal>
            <c:numRef>
              <c:f>'Active 3'!$H$21:$H$41</c:f>
              <c:numCache/>
            </c:numRef>
          </c:yVal>
          <c:smooth val="0"/>
        </c:ser>
        <c:ser>
          <c:idx val="1"/>
          <c:order val="1"/>
          <c:tx>
            <c:strRef>
              <c:f>'Active 3'!$I$20:$I$20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'Active 3'!$F$21:$F$41</c:f>
              <c:numCache/>
            </c:numRef>
          </c:xVal>
          <c:yVal>
            <c:numRef>
              <c:f>'Active 3'!$I$21:$I$41</c:f>
              <c:numCache/>
            </c:numRef>
          </c:yVal>
          <c:smooth val="0"/>
        </c:ser>
        <c:ser>
          <c:idx val="2"/>
          <c:order val="2"/>
          <c:tx>
            <c:strRef>
              <c:f>'Active 3'!$J$20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'Active 3'!$F$21:$F$41</c:f>
              <c:numCache/>
            </c:numRef>
          </c:xVal>
          <c:yVal>
            <c:numRef>
              <c:f>'Active 3'!$J$21:$J$41</c:f>
              <c:numCache/>
            </c:numRef>
          </c:yVal>
          <c:smooth val="0"/>
        </c:ser>
        <c:ser>
          <c:idx val="3"/>
          <c:order val="3"/>
          <c:tx>
            <c:strRef>
              <c:f>'Active 3'!$K$20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'Active 3'!$F$21:$F$41</c:f>
              <c:numCache/>
            </c:numRef>
          </c:xVal>
          <c:yVal>
            <c:numRef>
              <c:f>'Active 3'!$K$21:$K$41</c:f>
              <c:numCache/>
            </c:numRef>
          </c:yVal>
          <c:smooth val="0"/>
        </c:ser>
        <c:ser>
          <c:idx val="4"/>
          <c:order val="4"/>
          <c:tx>
            <c:strRef>
              <c:f>'Active 3'!$L$20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'Active 3'!$F$21:$F$41</c:f>
              <c:numCache/>
            </c:numRef>
          </c:xVal>
          <c:yVal>
            <c:numRef>
              <c:f>'Active 3'!$L$21:$L$41</c:f>
              <c:numCache/>
            </c:numRef>
          </c:yVal>
          <c:smooth val="0"/>
        </c:ser>
        <c:ser>
          <c:idx val="5"/>
          <c:order val="5"/>
          <c:tx>
            <c:strRef>
              <c:f>'Active 3'!$M$20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'Active 3'!$F$21:$F$41</c:f>
              <c:numCache/>
            </c:numRef>
          </c:xVal>
          <c:yVal>
            <c:numRef>
              <c:f>'Active 3'!$M$21:$M$41</c:f>
              <c:numCache/>
            </c:numRef>
          </c:yVal>
          <c:smooth val="0"/>
        </c:ser>
        <c:ser>
          <c:idx val="6"/>
          <c:order val="6"/>
          <c:tx>
            <c:strRef>
              <c:f>'Active 3'!$N$20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'Active 3'!$F$21:$F$41</c:f>
              <c:numCache/>
            </c:numRef>
          </c:xVal>
          <c:yVal>
            <c:numRef>
              <c:f>'Active 3'!$N$21:$N$41</c:f>
              <c:numCache/>
            </c:numRef>
          </c:yVal>
          <c:smooth val="0"/>
        </c:ser>
        <c:ser>
          <c:idx val="7"/>
          <c:order val="7"/>
          <c:tx>
            <c:strRef>
              <c:f>'Active 3'!$O$20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3'!$F$21:$F$41</c:f>
              <c:numCache/>
            </c:numRef>
          </c:xVal>
          <c:yVal>
            <c:numRef>
              <c:f>'Active 3'!$O$21:$O$41</c:f>
              <c:numCache/>
            </c:numRef>
          </c:yVal>
          <c:smooth val="0"/>
        </c:ser>
        <c:axId val="44481929"/>
        <c:axId val="64793042"/>
      </c:scatterChart>
      <c:valAx>
        <c:axId val="44481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3042"/>
        <c:crossesAt val="0"/>
        <c:crossBetween val="midCat"/>
        <c:dispUnits/>
      </c:valAx>
      <c:valAx>
        <c:axId val="64793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81929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175"/>
          <c:y val="0.92275"/>
          <c:w val="0.687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28575</xdr:rowOff>
    </xdr:from>
    <xdr:to>
      <xdr:col>15</xdr:col>
      <xdr:colOff>247650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3848100" y="28575"/>
        <a:ext cx="59626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16</xdr:col>
      <xdr:colOff>381000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81525" y="0"/>
        <a:ext cx="58959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16</xdr:col>
      <xdr:colOff>381000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81525" y="0"/>
        <a:ext cx="58959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E12" sqref="E12"/>
    </sheetView>
  </sheetViews>
  <sheetFormatPr defaultColWidth="10.28125" defaultRowHeight="12.75"/>
  <cols>
    <col min="1" max="1" width="14.421875" style="1" customWidth="1"/>
    <col min="2" max="2" width="5.140625" style="1" customWidth="1"/>
    <col min="3" max="3" width="11.8515625" style="1" customWidth="1"/>
    <col min="4" max="4" width="9.421875" style="1" customWidth="1"/>
    <col min="5" max="5" width="16.140625" style="1" customWidth="1"/>
    <col min="6" max="6" width="10.281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2" ht="12.75">
      <c r="A2" s="1" t="s">
        <v>1</v>
      </c>
      <c r="B2" s="1" t="s">
        <v>2</v>
      </c>
    </row>
    <row r="4" spans="1:4" ht="12.75">
      <c r="A4" s="3" t="s">
        <v>3</v>
      </c>
      <c r="C4" s="4" t="s">
        <v>4</v>
      </c>
      <c r="D4" s="5" t="s">
        <v>4</v>
      </c>
    </row>
    <row r="6" ht="12.75">
      <c r="A6" s="3" t="s">
        <v>5</v>
      </c>
    </row>
    <row r="7" spans="1:4" ht="12.75">
      <c r="A7" s="1" t="s">
        <v>6</v>
      </c>
      <c r="C7" s="1">
        <v>52308.291</v>
      </c>
      <c r="D7" s="6" t="s">
        <v>7</v>
      </c>
    </row>
    <row r="8" spans="1:4" ht="12.75">
      <c r="A8" s="1" t="s">
        <v>8</v>
      </c>
      <c r="C8" s="1">
        <v>0.38786</v>
      </c>
      <c r="D8" s="6">
        <v>5260</v>
      </c>
    </row>
    <row r="9" spans="1:5" ht="12.75">
      <c r="A9" s="7" t="s">
        <v>9</v>
      </c>
      <c r="B9"/>
      <c r="C9" s="8">
        <v>-9.5</v>
      </c>
      <c r="D9" t="s">
        <v>10</v>
      </c>
      <c r="E9"/>
    </row>
    <row r="10" spans="1:5" ht="12.75">
      <c r="A10"/>
      <c r="B10"/>
      <c r="C10" s="9" t="s">
        <v>11</v>
      </c>
      <c r="D10" s="9" t="s">
        <v>12</v>
      </c>
      <c r="E10"/>
    </row>
    <row r="11" spans="1:7" ht="12.75">
      <c r="A11" t="s">
        <v>13</v>
      </c>
      <c r="B11"/>
      <c r="C11" s="10">
        <f ca="1">INTERCEPT(INDIRECT($G$11):G992,INDIRECT($F$11):F992)</f>
        <v>-0.0174535472010271</v>
      </c>
      <c r="D11" s="11"/>
      <c r="E11"/>
      <c r="F11" s="12" t="str">
        <f>"F"&amp;E19</f>
        <v>F21</v>
      </c>
      <c r="G11" s="13" t="str">
        <f>"G"&amp;E19</f>
        <v>G21</v>
      </c>
    </row>
    <row r="12" spans="1:5" ht="12.75">
      <c r="A12" t="s">
        <v>14</v>
      </c>
      <c r="B12"/>
      <c r="C12" s="10">
        <f ca="1">SLOPE(INDIRECT($G$11):G992,INDIRECT($F$11):F992)</f>
        <v>4.1375116969165446E-07</v>
      </c>
      <c r="D12" s="11"/>
      <c r="E12"/>
    </row>
    <row r="13" spans="1:5" ht="12.75">
      <c r="A13" t="s">
        <v>15</v>
      </c>
      <c r="B13"/>
      <c r="C13" s="11" t="s">
        <v>16</v>
      </c>
      <c r="D13" s="11"/>
      <c r="E13"/>
    </row>
    <row r="14" spans="1:5" ht="12.75">
      <c r="A14"/>
      <c r="B14"/>
      <c r="C14"/>
      <c r="D14"/>
      <c r="E14"/>
    </row>
    <row r="15" spans="1:5" ht="12.75">
      <c r="A15" s="14" t="s">
        <v>17</v>
      </c>
      <c r="B15"/>
      <c r="C15" s="15">
        <f>(C7+C11)+(C8+C12)*INT(MAX(F21:F3533))</f>
        <v>58104.45956955027</v>
      </c>
      <c r="D15" s="16" t="s">
        <v>18</v>
      </c>
      <c r="E15" s="10">
        <f ca="1">TODAY()+15018.5-B9/24</f>
        <v>59907.5</v>
      </c>
    </row>
    <row r="16" spans="1:5" ht="12.75">
      <c r="A16" s="14" t="s">
        <v>19</v>
      </c>
      <c r="B16"/>
      <c r="C16" s="15">
        <f>+C8+C12</f>
        <v>0.3878604137511697</v>
      </c>
      <c r="D16" s="16" t="s">
        <v>20</v>
      </c>
      <c r="E16" s="10">
        <f>ROUND(2*(E15-C15)/C16,0)/2+1</f>
        <v>4649.5</v>
      </c>
    </row>
    <row r="17" spans="1:5" ht="12.75">
      <c r="A17" s="16" t="s">
        <v>21</v>
      </c>
      <c r="B17"/>
      <c r="C17">
        <f>COUNT(C21:C2191)</f>
        <v>21</v>
      </c>
      <c r="D17" s="16" t="s">
        <v>22</v>
      </c>
      <c r="E17" s="17">
        <f>+C15+C16*E16-15018.5-C9/24</f>
        <v>44889.712396619674</v>
      </c>
    </row>
    <row r="18" spans="1:5" ht="12.75">
      <c r="A18" s="14" t="s">
        <v>23</v>
      </c>
      <c r="B18"/>
      <c r="C18" s="18">
        <f>+C15</f>
        <v>58104.45956955027</v>
      </c>
      <c r="D18" s="19">
        <f>+C16</f>
        <v>0.3878604137511697</v>
      </c>
      <c r="E18" s="20" t="s">
        <v>24</v>
      </c>
    </row>
    <row r="19" spans="1:5" ht="12.75">
      <c r="A19" s="21" t="s">
        <v>25</v>
      </c>
      <c r="E19" s="6">
        <v>21</v>
      </c>
    </row>
    <row r="20" spans="1:17" ht="12.75">
      <c r="A20" s="9" t="s">
        <v>26</v>
      </c>
      <c r="B20" s="9" t="s">
        <v>27</v>
      </c>
      <c r="C20" s="9" t="s">
        <v>28</v>
      </c>
      <c r="D20" s="9" t="s">
        <v>29</v>
      </c>
      <c r="E20" s="9" t="s">
        <v>30</v>
      </c>
      <c r="F20" s="9" t="s">
        <v>31</v>
      </c>
      <c r="G20" s="9" t="s">
        <v>32</v>
      </c>
      <c r="H20" s="22" t="s">
        <v>33</v>
      </c>
      <c r="I20" s="22" t="s">
        <v>7</v>
      </c>
      <c r="J20" s="22" t="s">
        <v>34</v>
      </c>
      <c r="K20" s="22" t="s">
        <v>35</v>
      </c>
      <c r="L20" s="22" t="s">
        <v>36</v>
      </c>
      <c r="M20" s="22" t="s">
        <v>37</v>
      </c>
      <c r="N20" s="22" t="s">
        <v>38</v>
      </c>
      <c r="O20" s="22" t="s">
        <v>39</v>
      </c>
      <c r="P20" s="22" t="s">
        <v>40</v>
      </c>
      <c r="Q20" s="9" t="s">
        <v>41</v>
      </c>
    </row>
    <row r="21" spans="1:17" ht="12.75">
      <c r="A21" s="23" t="s">
        <v>42</v>
      </c>
      <c r="B21" s="24" t="s">
        <v>43</v>
      </c>
      <c r="C21" s="25">
        <v>52307.3134</v>
      </c>
      <c r="D21" s="25">
        <v>0.0006</v>
      </c>
      <c r="E21" s="1">
        <f aca="true" t="shared" si="0" ref="E21:E28">+(C21-C$7)/C$8</f>
        <v>-2.520497086573369</v>
      </c>
      <c r="F21" s="1">
        <f aca="true" t="shared" si="1" ref="F21:F31">ROUND(2*E21,0)/2</f>
        <v>-2.5</v>
      </c>
      <c r="G21" s="1">
        <f aca="true" t="shared" si="2" ref="G21:G28">+C21-(C$7+F21*C$8)</f>
        <v>-0.007949999999254942</v>
      </c>
      <c r="I21" s="1">
        <f aca="true" t="shared" si="3" ref="I21:I28">+G21</f>
        <v>-0.007949999999254942</v>
      </c>
      <c r="O21" s="1">
        <f aca="true" t="shared" si="4" ref="O21:O28">+C$11+C$12*$F21</f>
        <v>-0.01745458157895133</v>
      </c>
      <c r="Q21" s="56">
        <f aca="true" t="shared" si="5" ref="Q21:Q28">+C21-15018.5</f>
        <v>37288.8134</v>
      </c>
    </row>
    <row r="22" spans="1:17" ht="12.75">
      <c r="A22" s="26" t="s">
        <v>44</v>
      </c>
      <c r="B22" s="11" t="s">
        <v>43</v>
      </c>
      <c r="C22" s="27">
        <v>52307.319500000216</v>
      </c>
      <c r="D22" s="27">
        <v>0.0009</v>
      </c>
      <c r="E22" s="1">
        <f t="shared" si="0"/>
        <v>-2.504769761721683</v>
      </c>
      <c r="F22" s="1">
        <f t="shared" si="1"/>
        <v>-2.5</v>
      </c>
      <c r="G22" s="1">
        <f t="shared" si="2"/>
        <v>-0.0018499997822800651</v>
      </c>
      <c r="I22" s="1">
        <f t="shared" si="3"/>
        <v>-0.0018499997822800651</v>
      </c>
      <c r="O22" s="1">
        <f t="shared" si="4"/>
        <v>-0.01745458157895133</v>
      </c>
      <c r="Q22" s="56">
        <f t="shared" si="5"/>
        <v>37288.819500000216</v>
      </c>
    </row>
    <row r="23" spans="1:17" ht="12.75">
      <c r="A23" s="26" t="s">
        <v>44</v>
      </c>
      <c r="B23" s="11" t="s">
        <v>45</v>
      </c>
      <c r="C23" s="27">
        <v>52308.29139999999</v>
      </c>
      <c r="D23" s="27">
        <v>0.0007</v>
      </c>
      <c r="E23" s="1">
        <f t="shared" si="0"/>
        <v>0.001031299927538674</v>
      </c>
      <c r="F23" s="1">
        <f t="shared" si="1"/>
        <v>0</v>
      </c>
      <c r="G23" s="1">
        <f t="shared" si="2"/>
        <v>0.00039999998989515007</v>
      </c>
      <c r="I23" s="1">
        <f t="shared" si="3"/>
        <v>0.00039999998989515007</v>
      </c>
      <c r="O23" s="1">
        <f t="shared" si="4"/>
        <v>-0.0174535472010271</v>
      </c>
      <c r="Q23" s="56">
        <f t="shared" si="5"/>
        <v>37289.79139999999</v>
      </c>
    </row>
    <row r="24" spans="1:17" ht="12.75">
      <c r="A24" s="26" t="s">
        <v>44</v>
      </c>
      <c r="B24" s="28" t="s">
        <v>43</v>
      </c>
      <c r="C24" s="27">
        <v>52309.26099999994</v>
      </c>
      <c r="D24" s="27">
        <v>0.0006</v>
      </c>
      <c r="E24" s="1">
        <f t="shared" si="0"/>
        <v>2.5009023873123204</v>
      </c>
      <c r="F24" s="1">
        <f t="shared" si="1"/>
        <v>2.5</v>
      </c>
      <c r="G24" s="1">
        <f t="shared" si="2"/>
        <v>0.0003499999438645318</v>
      </c>
      <c r="I24" s="1">
        <f t="shared" si="3"/>
        <v>0.0003499999438645318</v>
      </c>
      <c r="O24" s="1">
        <f t="shared" si="4"/>
        <v>-0.01745251282310287</v>
      </c>
      <c r="Q24" s="56">
        <f t="shared" si="5"/>
        <v>37290.76099999994</v>
      </c>
    </row>
    <row r="25" spans="1:17" ht="12.75">
      <c r="A25" s="26" t="s">
        <v>44</v>
      </c>
      <c r="B25" s="11" t="s">
        <v>45</v>
      </c>
      <c r="C25" s="27">
        <v>52309.459199999925</v>
      </c>
      <c r="D25" s="27">
        <v>0.0014</v>
      </c>
      <c r="E25" s="1">
        <f t="shared" si="0"/>
        <v>3.01191151427657</v>
      </c>
      <c r="F25" s="1">
        <f t="shared" si="1"/>
        <v>3</v>
      </c>
      <c r="G25" s="1">
        <f t="shared" si="2"/>
        <v>0.004619999926944729</v>
      </c>
      <c r="I25" s="1">
        <f t="shared" si="3"/>
        <v>0.004619999926944729</v>
      </c>
      <c r="O25" s="1">
        <f t="shared" si="4"/>
        <v>-0.017452305947518027</v>
      </c>
      <c r="Q25" s="56">
        <f t="shared" si="5"/>
        <v>37290.959199999925</v>
      </c>
    </row>
    <row r="26" spans="1:17" ht="12.75">
      <c r="A26" s="26" t="s">
        <v>44</v>
      </c>
      <c r="B26" s="11" t="s">
        <v>43</v>
      </c>
      <c r="C26" s="27">
        <v>52310.4216</v>
      </c>
      <c r="D26" s="27">
        <v>0.0011</v>
      </c>
      <c r="E26" s="1">
        <f t="shared" si="0"/>
        <v>5.493219202815581</v>
      </c>
      <c r="F26" s="1">
        <f t="shared" si="1"/>
        <v>5.5</v>
      </c>
      <c r="G26" s="1">
        <f t="shared" si="2"/>
        <v>-0.0026299999954062514</v>
      </c>
      <c r="I26" s="1">
        <f t="shared" si="3"/>
        <v>-0.0026299999954062514</v>
      </c>
      <c r="O26" s="1">
        <f t="shared" si="4"/>
        <v>-0.017451271569593797</v>
      </c>
      <c r="Q26" s="56">
        <f t="shared" si="5"/>
        <v>37291.9216</v>
      </c>
    </row>
    <row r="27" spans="1:17" ht="12.75">
      <c r="A27" s="23" t="s">
        <v>42</v>
      </c>
      <c r="B27" s="29"/>
      <c r="C27" s="25">
        <v>52320.3137</v>
      </c>
      <c r="D27" s="25">
        <v>0.0005</v>
      </c>
      <c r="E27" s="1">
        <f t="shared" si="0"/>
        <v>30.997524880114863</v>
      </c>
      <c r="F27" s="1">
        <f t="shared" si="1"/>
        <v>31</v>
      </c>
      <c r="G27" s="1">
        <f t="shared" si="2"/>
        <v>-0.000959999997576233</v>
      </c>
      <c r="I27" s="1">
        <f t="shared" si="3"/>
        <v>-0.000959999997576233</v>
      </c>
      <c r="O27" s="1">
        <f t="shared" si="4"/>
        <v>-0.017440720914766658</v>
      </c>
      <c r="Q27" s="56">
        <f t="shared" si="5"/>
        <v>37301.8137</v>
      </c>
    </row>
    <row r="28" spans="1:17" ht="12.75">
      <c r="A28" s="26" t="s">
        <v>44</v>
      </c>
      <c r="B28" s="11" t="s">
        <v>45</v>
      </c>
      <c r="C28" s="27">
        <v>52320.314199999906</v>
      </c>
      <c r="D28" s="27">
        <v>0.0004</v>
      </c>
      <c r="E28" s="1">
        <f t="shared" si="0"/>
        <v>30.998814004817934</v>
      </c>
      <c r="F28" s="1">
        <f t="shared" si="1"/>
        <v>31</v>
      </c>
      <c r="G28" s="1">
        <f t="shared" si="2"/>
        <v>-0.0004600000902428292</v>
      </c>
      <c r="I28" s="1">
        <f t="shared" si="3"/>
        <v>-0.0004600000902428292</v>
      </c>
      <c r="O28" s="1">
        <f t="shared" si="4"/>
        <v>-0.017440720914766658</v>
      </c>
      <c r="Q28" s="56">
        <f t="shared" si="5"/>
        <v>37301.814199999906</v>
      </c>
    </row>
    <row r="29" spans="1:17" ht="12.75">
      <c r="A29" s="30" t="s">
        <v>46</v>
      </c>
      <c r="B29" s="31" t="s">
        <v>43</v>
      </c>
      <c r="C29" s="30">
        <v>54787.8075</v>
      </c>
      <c r="D29" s="30">
        <v>0.0014</v>
      </c>
      <c r="E29" s="1">
        <f>+(C29-C$7)/C$8</f>
        <v>6392.8131284484225</v>
      </c>
      <c r="F29" s="1">
        <f t="shared" si="1"/>
        <v>6393</v>
      </c>
      <c r="G29" s="1">
        <f>+C29-(C$7+F29*C$8)</f>
        <v>-0.07247999999526655</v>
      </c>
      <c r="I29" s="1">
        <f>+G29</f>
        <v>-0.07247999999526655</v>
      </c>
      <c r="O29" s="1">
        <f>+C$11+C$12*$F29</f>
        <v>-0.014808435973188355</v>
      </c>
      <c r="Q29" s="56">
        <f>+C29-15018.5</f>
        <v>39769.3075</v>
      </c>
    </row>
    <row r="30" spans="1:17" ht="12.75">
      <c r="A30" s="32" t="s">
        <v>47</v>
      </c>
      <c r="B30" s="33" t="s">
        <v>43</v>
      </c>
      <c r="C30" s="32">
        <v>54716.61982</v>
      </c>
      <c r="D30" s="32">
        <v>0.0006</v>
      </c>
      <c r="E30" s="1">
        <f>+(C30-C$7)/C$8</f>
        <v>6209.2735007476995</v>
      </c>
      <c r="F30" s="1">
        <f t="shared" si="1"/>
        <v>6209.5</v>
      </c>
      <c r="G30" s="1">
        <f>+C30-(C$7+F30*C$8)</f>
        <v>-0.08784999999625143</v>
      </c>
      <c r="J30" s="1">
        <f>+G30</f>
        <v>-0.08784999999625143</v>
      </c>
      <c r="O30" s="1">
        <f>+C$11+C$12*$F30</f>
        <v>-0.014884359312826773</v>
      </c>
      <c r="Q30" s="56">
        <f>+C30-15018.5</f>
        <v>39698.11982</v>
      </c>
    </row>
    <row r="31" spans="1:17" ht="12.75">
      <c r="A31" s="34" t="s">
        <v>48</v>
      </c>
      <c r="B31" s="33" t="s">
        <v>43</v>
      </c>
      <c r="C31" s="32">
        <v>54857.44192</v>
      </c>
      <c r="D31" s="32">
        <v>0.0003</v>
      </c>
      <c r="E31" s="1">
        <f>+(C31-C$7)/C$8</f>
        <v>6572.348063734337</v>
      </c>
      <c r="F31" s="1">
        <f t="shared" si="1"/>
        <v>6572.5</v>
      </c>
      <c r="G31" s="1">
        <f>+C31-(C$7+F31*C$8)</f>
        <v>-0.058929999999236315</v>
      </c>
      <c r="J31" s="1">
        <f>+G31</f>
        <v>-0.058929999999236315</v>
      </c>
      <c r="O31" s="1">
        <f>+C$11+C$12*$F31</f>
        <v>-0.014734167638228702</v>
      </c>
      <c r="Q31" s="56">
        <f>+C31-15018.5</f>
        <v>39838.94192</v>
      </c>
    </row>
    <row r="32" spans="1:17" ht="12.75">
      <c r="A32" s="41" t="s">
        <v>55</v>
      </c>
      <c r="B32" s="31" t="s">
        <v>45</v>
      </c>
      <c r="C32" s="30">
        <v>56656.7027</v>
      </c>
      <c r="D32" s="30">
        <v>0.0002</v>
      </c>
      <c r="E32" s="1">
        <f aca="true" t="shared" si="6" ref="E32:E41">+(C32-C$7)/C$8</f>
        <v>11211.291961016874</v>
      </c>
      <c r="F32" s="1">
        <f aca="true" t="shared" si="7" ref="F32:F41">ROUND(2*E32,0)/2</f>
        <v>11211.5</v>
      </c>
      <c r="G32" s="1">
        <f aca="true" t="shared" si="8" ref="G32:G41">+C32-(C$7+F32*C$8)</f>
        <v>-0.0806899999952293</v>
      </c>
      <c r="J32" s="1">
        <f aca="true" t="shared" si="9" ref="J32:J41">+G32</f>
        <v>-0.0806899999952293</v>
      </c>
      <c r="O32" s="1">
        <f aca="true" t="shared" si="10" ref="O32:O41">+C$11+C$12*$F32</f>
        <v>-0.012814775962029117</v>
      </c>
      <c r="Q32" s="56">
        <f aca="true" t="shared" si="11" ref="Q32:Q41">+C32-15018.5</f>
        <v>41638.2027</v>
      </c>
    </row>
    <row r="33" spans="1:17" ht="12.75">
      <c r="A33" s="41" t="s">
        <v>55</v>
      </c>
      <c r="B33" s="31" t="s">
        <v>43</v>
      </c>
      <c r="C33" s="30">
        <v>56657.6748</v>
      </c>
      <c r="D33" s="30">
        <v>0.0003</v>
      </c>
      <c r="E33" s="1">
        <f t="shared" si="6"/>
        <v>11213.798277729087</v>
      </c>
      <c r="F33" s="1">
        <f t="shared" si="7"/>
        <v>11214</v>
      </c>
      <c r="G33" s="1">
        <f t="shared" si="8"/>
        <v>-0.07823999999527587</v>
      </c>
      <c r="J33" s="1">
        <f t="shared" si="9"/>
        <v>-0.07823999999527587</v>
      </c>
      <c r="O33" s="1">
        <f t="shared" si="10"/>
        <v>-0.012813741584104888</v>
      </c>
      <c r="Q33" s="56">
        <f t="shared" si="11"/>
        <v>41639.1748</v>
      </c>
    </row>
    <row r="34" spans="1:17" ht="12.75">
      <c r="A34" s="41" t="s">
        <v>55</v>
      </c>
      <c r="B34" s="31" t="s">
        <v>45</v>
      </c>
      <c r="C34" s="30">
        <v>56663.6883</v>
      </c>
      <c r="D34" s="30">
        <v>0.0002</v>
      </c>
      <c r="E34" s="1">
        <f t="shared" si="6"/>
        <v>11229.302583406396</v>
      </c>
      <c r="F34" s="1">
        <f t="shared" si="7"/>
        <v>11229.5</v>
      </c>
      <c r="G34" s="1">
        <f t="shared" si="8"/>
        <v>-0.07656999999744585</v>
      </c>
      <c r="J34" s="1">
        <f t="shared" si="9"/>
        <v>-0.07656999999744585</v>
      </c>
      <c r="O34" s="1">
        <f t="shared" si="10"/>
        <v>-0.012807328440974666</v>
      </c>
      <c r="Q34" s="56">
        <f t="shared" si="11"/>
        <v>41645.1883</v>
      </c>
    </row>
    <row r="35" spans="1:17" ht="12.75">
      <c r="A35" s="43" t="s">
        <v>56</v>
      </c>
      <c r="B35" s="44" t="s">
        <v>45</v>
      </c>
      <c r="C35" s="45">
        <v>57409.29509</v>
      </c>
      <c r="D35" s="45">
        <v>0.0008</v>
      </c>
      <c r="E35" s="1">
        <f t="shared" si="6"/>
        <v>13151.663203217662</v>
      </c>
      <c r="F35" s="1">
        <f t="shared" si="7"/>
        <v>13151.5</v>
      </c>
      <c r="G35" s="1">
        <f t="shared" si="8"/>
        <v>0.06330000000161817</v>
      </c>
      <c r="J35" s="1">
        <f t="shared" si="9"/>
        <v>0.06330000000161817</v>
      </c>
      <c r="O35" s="1">
        <f t="shared" si="10"/>
        <v>-0.012012098692827308</v>
      </c>
      <c r="Q35" s="56">
        <f t="shared" si="11"/>
        <v>42390.79509</v>
      </c>
    </row>
    <row r="36" spans="1:17" ht="12.75">
      <c r="A36" s="43" t="s">
        <v>56</v>
      </c>
      <c r="B36" s="44" t="s">
        <v>45</v>
      </c>
      <c r="C36" s="45">
        <v>57409.29918</v>
      </c>
      <c r="D36" s="45">
        <v>0.0013</v>
      </c>
      <c r="E36" s="1">
        <f t="shared" si="6"/>
        <v>13151.673748259693</v>
      </c>
      <c r="F36" s="1">
        <f t="shared" si="7"/>
        <v>13151.5</v>
      </c>
      <c r="G36" s="1">
        <f t="shared" si="8"/>
        <v>0.06739000000379747</v>
      </c>
      <c r="J36" s="1">
        <f t="shared" si="9"/>
        <v>0.06739000000379747</v>
      </c>
      <c r="O36" s="1">
        <f t="shared" si="10"/>
        <v>-0.012012098692827308</v>
      </c>
      <c r="Q36" s="56">
        <f t="shared" si="11"/>
        <v>42390.79918</v>
      </c>
    </row>
    <row r="37" spans="1:17" ht="12.75">
      <c r="A37" s="46" t="s">
        <v>57</v>
      </c>
      <c r="B37" s="47" t="s">
        <v>45</v>
      </c>
      <c r="C37" s="46">
        <v>57037.6486</v>
      </c>
      <c r="D37" s="46">
        <v>0.0004</v>
      </c>
      <c r="E37" s="1">
        <f t="shared" si="6"/>
        <v>12193.465683494052</v>
      </c>
      <c r="F37" s="1">
        <f t="shared" si="7"/>
        <v>12193.5</v>
      </c>
      <c r="G37" s="1">
        <f t="shared" si="8"/>
        <v>-0.01330999999481719</v>
      </c>
      <c r="J37" s="1">
        <f t="shared" si="9"/>
        <v>-0.01330999999481719</v>
      </c>
      <c r="O37" s="1">
        <f t="shared" si="10"/>
        <v>-0.012408472313391913</v>
      </c>
      <c r="Q37" s="56">
        <f t="shared" si="11"/>
        <v>42019.1486</v>
      </c>
    </row>
    <row r="38" spans="1:17" ht="12.75">
      <c r="A38" s="48" t="s">
        <v>58</v>
      </c>
      <c r="B38" s="49" t="s">
        <v>43</v>
      </c>
      <c r="C38" s="50">
        <v>58074.0322</v>
      </c>
      <c r="D38" s="51" t="s">
        <v>59</v>
      </c>
      <c r="E38" s="1">
        <f t="shared" si="6"/>
        <v>14865.52157995154</v>
      </c>
      <c r="F38" s="1">
        <f t="shared" si="7"/>
        <v>14865.5</v>
      </c>
      <c r="G38" s="1">
        <f t="shared" si="8"/>
        <v>0.008370000003196765</v>
      </c>
      <c r="J38" s="1">
        <f t="shared" si="9"/>
        <v>0.008370000003196765</v>
      </c>
      <c r="O38" s="1">
        <f t="shared" si="10"/>
        <v>-0.011302929187975812</v>
      </c>
      <c r="Q38" s="56">
        <f t="shared" si="11"/>
        <v>43055.5322</v>
      </c>
    </row>
    <row r="39" spans="1:17" ht="12.75">
      <c r="A39" s="53" t="s">
        <v>60</v>
      </c>
      <c r="B39" s="54" t="s">
        <v>45</v>
      </c>
      <c r="C39" s="55">
        <v>58104.48136000009</v>
      </c>
      <c r="D39" s="55">
        <v>0.0007</v>
      </c>
      <c r="E39" s="1">
        <f t="shared" si="6"/>
        <v>14944.027123189026</v>
      </c>
      <c r="F39" s="1">
        <f t="shared" si="7"/>
        <v>14944</v>
      </c>
      <c r="G39" s="1">
        <f t="shared" si="8"/>
        <v>0.010520000098040327</v>
      </c>
      <c r="J39" s="1">
        <f t="shared" si="9"/>
        <v>0.010520000098040327</v>
      </c>
      <c r="O39" s="1">
        <f t="shared" si="10"/>
        <v>-0.011270449721155016</v>
      </c>
      <c r="Q39" s="56">
        <f t="shared" si="11"/>
        <v>43085.98136000009</v>
      </c>
    </row>
    <row r="40" spans="1:17" ht="12.75">
      <c r="A40" s="53" t="s">
        <v>60</v>
      </c>
      <c r="B40" s="54" t="s">
        <v>45</v>
      </c>
      <c r="C40" s="55">
        <v>58104.48217000021</v>
      </c>
      <c r="D40" s="55">
        <v>0.0005</v>
      </c>
      <c r="E40" s="1">
        <f t="shared" si="6"/>
        <v>14944.029211571726</v>
      </c>
      <c r="F40" s="1">
        <f t="shared" si="7"/>
        <v>14944</v>
      </c>
      <c r="G40" s="1">
        <f t="shared" si="8"/>
        <v>0.011330000212183222</v>
      </c>
      <c r="J40" s="1">
        <f t="shared" si="9"/>
        <v>0.011330000212183222</v>
      </c>
      <c r="O40" s="1">
        <f t="shared" si="10"/>
        <v>-0.011270449721155016</v>
      </c>
      <c r="Q40" s="56">
        <f t="shared" si="11"/>
        <v>43085.98217000021</v>
      </c>
    </row>
    <row r="41" spans="1:17" ht="12.75">
      <c r="A41" s="53" t="s">
        <v>60</v>
      </c>
      <c r="B41" s="54" t="s">
        <v>45</v>
      </c>
      <c r="C41" s="55">
        <v>58104.48247000016</v>
      </c>
      <c r="D41" s="55">
        <v>0.0021</v>
      </c>
      <c r="E41" s="1">
        <f t="shared" si="6"/>
        <v>14944.029985046578</v>
      </c>
      <c r="F41" s="1">
        <f t="shared" si="7"/>
        <v>14944</v>
      </c>
      <c r="G41" s="1">
        <f t="shared" si="8"/>
        <v>0.011630000168224797</v>
      </c>
      <c r="J41" s="1">
        <f t="shared" si="9"/>
        <v>0.011630000168224797</v>
      </c>
      <c r="O41" s="1">
        <f t="shared" si="10"/>
        <v>-0.011270449721155016</v>
      </c>
      <c r="Q41" s="56">
        <f t="shared" si="11"/>
        <v>43085.98247000016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41"/>
  <sheetViews>
    <sheetView zoomScalePageLayoutView="0" workbookViewId="0" topLeftCell="A1">
      <selection activeCell="F12" sqref="F12"/>
    </sheetView>
  </sheetViews>
  <sheetFormatPr defaultColWidth="10.28125" defaultRowHeight="12.75"/>
  <cols>
    <col min="1" max="1" width="14.421875" style="1" customWidth="1"/>
    <col min="2" max="2" width="5.140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2" ht="12.75">
      <c r="A2" s="1" t="s">
        <v>1</v>
      </c>
      <c r="B2" s="1" t="s">
        <v>2</v>
      </c>
    </row>
    <row r="4" spans="1:4" ht="12.75">
      <c r="A4" s="3" t="s">
        <v>3</v>
      </c>
      <c r="C4" s="4" t="s">
        <v>4</v>
      </c>
      <c r="D4" s="5" t="s">
        <v>4</v>
      </c>
    </row>
    <row r="5" spans="1:4" ht="12.75">
      <c r="A5" s="7" t="s">
        <v>9</v>
      </c>
      <c r="B5"/>
      <c r="C5" s="8">
        <v>-9.5</v>
      </c>
      <c r="D5" t="s">
        <v>10</v>
      </c>
    </row>
    <row r="6" ht="12.75">
      <c r="A6" s="3" t="s">
        <v>5</v>
      </c>
    </row>
    <row r="7" spans="1:4" ht="12.75">
      <c r="A7" s="1" t="s">
        <v>6</v>
      </c>
      <c r="C7" s="1">
        <v>52308.291</v>
      </c>
      <c r="D7" s="6" t="s">
        <v>7</v>
      </c>
    </row>
    <row r="8" spans="1:4" ht="12.75">
      <c r="A8" s="1" t="s">
        <v>8</v>
      </c>
      <c r="C8" s="1">
        <v>0.38786</v>
      </c>
      <c r="D8" s="6">
        <v>5260</v>
      </c>
    </row>
    <row r="9" spans="1:4" ht="12.75">
      <c r="A9" s="21" t="s">
        <v>25</v>
      </c>
      <c r="B9" s="6">
        <v>21</v>
      </c>
      <c r="C9" s="12" t="str">
        <f>"F"&amp;B9</f>
        <v>F21</v>
      </c>
      <c r="D9" s="13" t="str">
        <f>"G"&amp;B9</f>
        <v>G21</v>
      </c>
    </row>
    <row r="10" spans="1:5" ht="12.75">
      <c r="A10"/>
      <c r="B10"/>
      <c r="C10" s="9" t="s">
        <v>11</v>
      </c>
      <c r="D10" s="9" t="s">
        <v>12</v>
      </c>
      <c r="E10"/>
    </row>
    <row r="11" spans="1:5" ht="12.75">
      <c r="A11" t="s">
        <v>13</v>
      </c>
      <c r="B11"/>
      <c r="C11" s="10">
        <f ca="1">INTERCEPT(INDIRECT($D$9):G987,INDIRECT($C$9):F987)</f>
        <v>-0.0002959777320881152</v>
      </c>
      <c r="D11" s="11"/>
      <c r="E11"/>
    </row>
    <row r="12" spans="1:5" ht="12.75">
      <c r="A12" t="s">
        <v>14</v>
      </c>
      <c r="B12"/>
      <c r="C12" s="10">
        <f ca="1">SLOPE(INDIRECT($D$9):G987,INDIRECT($C$9):F987)</f>
        <v>7.890742803629179E-05</v>
      </c>
      <c r="D12" s="11"/>
      <c r="E12"/>
    </row>
    <row r="13" spans="1:3" ht="12.75">
      <c r="A13" t="s">
        <v>15</v>
      </c>
      <c r="B13"/>
      <c r="C13" s="11" t="s">
        <v>16</v>
      </c>
    </row>
    <row r="14" spans="1:3" ht="12.75">
      <c r="A14"/>
      <c r="B14"/>
      <c r="C14"/>
    </row>
    <row r="15" spans="1:6" ht="12.75">
      <c r="A15" s="14" t="s">
        <v>17</v>
      </c>
      <c r="B15"/>
      <c r="C15" s="15">
        <f>(C7+C11)+(C8+C12)*INT(MAX(F21:F3528))</f>
        <v>58104.48591990455</v>
      </c>
      <c r="E15" s="16" t="s">
        <v>49</v>
      </c>
      <c r="F15" s="8">
        <v>1</v>
      </c>
    </row>
    <row r="16" spans="1:6" ht="12.75">
      <c r="A16" s="14" t="s">
        <v>19</v>
      </c>
      <c r="B16"/>
      <c r="C16" s="15">
        <f>+C8+C12</f>
        <v>0.3879389074280363</v>
      </c>
      <c r="E16" s="16" t="s">
        <v>18</v>
      </c>
      <c r="F16" s="35">
        <f ca="1">NOW()+15018.5+$C$5/24</f>
        <v>59907.693499305555</v>
      </c>
    </row>
    <row r="17" spans="1:6" ht="12.75">
      <c r="A17" s="16" t="s">
        <v>21</v>
      </c>
      <c r="B17"/>
      <c r="C17">
        <f>COUNT(C21:C2186)</f>
        <v>21</v>
      </c>
      <c r="E17" s="16" t="s">
        <v>50</v>
      </c>
      <c r="F17" s="10">
        <f>ROUND(2*(F16-$C$7)/$C$8,0)/2+F15</f>
        <v>19594</v>
      </c>
    </row>
    <row r="18" spans="1:6" ht="12.75">
      <c r="A18" s="14" t="s">
        <v>23</v>
      </c>
      <c r="B18"/>
      <c r="C18" s="18">
        <f>+C15</f>
        <v>58104.48591990455</v>
      </c>
      <c r="D18" s="19">
        <f>+C16</f>
        <v>0.3879389074280363</v>
      </c>
      <c r="E18" s="16" t="s">
        <v>20</v>
      </c>
      <c r="F18" s="13">
        <f>ROUND(2*(F16-$C$15)/$C$16,0)/2+F15</f>
        <v>4649</v>
      </c>
    </row>
    <row r="19" spans="5:6" ht="12.75">
      <c r="E19" s="16" t="s">
        <v>22</v>
      </c>
      <c r="F19" s="17">
        <f>+$C$15+$C$16*F18-15018.5-$C$5/24</f>
        <v>44889.90973387083</v>
      </c>
    </row>
    <row r="20" spans="1:17" ht="12.75">
      <c r="A20" s="9" t="s">
        <v>26</v>
      </c>
      <c r="B20" s="9" t="s">
        <v>27</v>
      </c>
      <c r="C20" s="9" t="s">
        <v>28</v>
      </c>
      <c r="D20" s="9" t="s">
        <v>29</v>
      </c>
      <c r="E20" s="9" t="s">
        <v>30</v>
      </c>
      <c r="F20" s="9" t="s">
        <v>31</v>
      </c>
      <c r="G20" s="9" t="s">
        <v>32</v>
      </c>
      <c r="H20" s="22" t="s">
        <v>51</v>
      </c>
      <c r="I20" s="22" t="s">
        <v>52</v>
      </c>
      <c r="J20" s="22" t="s">
        <v>53</v>
      </c>
      <c r="K20" s="22" t="s">
        <v>54</v>
      </c>
      <c r="L20" s="22" t="s">
        <v>36</v>
      </c>
      <c r="M20" s="22" t="s">
        <v>37</v>
      </c>
      <c r="N20" s="22" t="s">
        <v>38</v>
      </c>
      <c r="O20" s="22" t="s">
        <v>39</v>
      </c>
      <c r="P20" s="22" t="s">
        <v>40</v>
      </c>
      <c r="Q20" s="9" t="s">
        <v>41</v>
      </c>
    </row>
    <row r="21" spans="1:17" ht="12.75">
      <c r="A21" s="23" t="s">
        <v>42</v>
      </c>
      <c r="B21" s="24" t="s">
        <v>43</v>
      </c>
      <c r="C21" s="25">
        <v>52307.3134</v>
      </c>
      <c r="D21" s="25">
        <v>0.0006</v>
      </c>
      <c r="E21" s="1">
        <f aca="true" t="shared" si="0" ref="E21:E31">+(C21-C$7)/C$8</f>
        <v>-2.520497086573369</v>
      </c>
      <c r="F21" s="1">
        <f aca="true" t="shared" si="1" ref="F21:F28">ROUND(2*E21,0)/2</f>
        <v>-2.5</v>
      </c>
      <c r="G21" s="1">
        <f aca="true" t="shared" si="2" ref="G21:G31">+C21-(C$7+F21*C$8)</f>
        <v>-0.007949999999254942</v>
      </c>
      <c r="J21" s="1">
        <f>+G21</f>
        <v>-0.007949999999254942</v>
      </c>
      <c r="O21" s="1">
        <f aca="true" t="shared" si="3" ref="O21:O31">+C$11+C$12*$F21</f>
        <v>-0.0004932463021788446</v>
      </c>
      <c r="Q21" s="56">
        <f aca="true" t="shared" si="4" ref="Q21:Q31">+C21-15018.5</f>
        <v>37288.8134</v>
      </c>
    </row>
    <row r="22" spans="1:17" ht="12.75">
      <c r="A22" s="26" t="s">
        <v>44</v>
      </c>
      <c r="B22" s="11" t="s">
        <v>43</v>
      </c>
      <c r="C22" s="27">
        <v>52307.319500000216</v>
      </c>
      <c r="D22" s="27">
        <v>0.0009</v>
      </c>
      <c r="E22" s="1">
        <f t="shared" si="0"/>
        <v>-2.504769761721683</v>
      </c>
      <c r="F22" s="1">
        <f t="shared" si="1"/>
        <v>-2.5</v>
      </c>
      <c r="G22" s="1">
        <f t="shared" si="2"/>
        <v>-0.0018499997822800651</v>
      </c>
      <c r="K22" s="1">
        <f>+G22</f>
        <v>-0.0018499997822800651</v>
      </c>
      <c r="O22" s="1">
        <f t="shared" si="3"/>
        <v>-0.0004932463021788446</v>
      </c>
      <c r="Q22" s="56">
        <f t="shared" si="4"/>
        <v>37288.819500000216</v>
      </c>
    </row>
    <row r="23" spans="1:17" ht="12.75">
      <c r="A23" s="26" t="s">
        <v>44</v>
      </c>
      <c r="B23" s="11" t="s">
        <v>45</v>
      </c>
      <c r="C23" s="27">
        <v>52308.29139999999</v>
      </c>
      <c r="D23" s="27">
        <v>0.0007</v>
      </c>
      <c r="E23" s="1">
        <f t="shared" si="0"/>
        <v>0.001031299927538674</v>
      </c>
      <c r="F23" s="1">
        <f t="shared" si="1"/>
        <v>0</v>
      </c>
      <c r="G23" s="1">
        <f t="shared" si="2"/>
        <v>0.00039999998989515007</v>
      </c>
      <c r="K23" s="1">
        <f>+G23</f>
        <v>0.00039999998989515007</v>
      </c>
      <c r="O23" s="1">
        <f t="shared" si="3"/>
        <v>-0.0002959777320881152</v>
      </c>
      <c r="Q23" s="56">
        <f t="shared" si="4"/>
        <v>37289.79139999999</v>
      </c>
    </row>
    <row r="24" spans="1:17" ht="12.75">
      <c r="A24" s="26" t="s">
        <v>44</v>
      </c>
      <c r="B24" s="28" t="s">
        <v>43</v>
      </c>
      <c r="C24" s="27">
        <v>52309.26099999994</v>
      </c>
      <c r="D24" s="27">
        <v>0.0006</v>
      </c>
      <c r="E24" s="1">
        <f t="shared" si="0"/>
        <v>2.5009023873123204</v>
      </c>
      <c r="F24" s="1">
        <f t="shared" si="1"/>
        <v>2.5</v>
      </c>
      <c r="G24" s="1">
        <f t="shared" si="2"/>
        <v>0.0003499999438645318</v>
      </c>
      <c r="K24" s="1">
        <f>+G24</f>
        <v>0.0003499999438645318</v>
      </c>
      <c r="O24" s="1">
        <f t="shared" si="3"/>
        <v>-9.870916199738571E-05</v>
      </c>
      <c r="Q24" s="56">
        <f t="shared" si="4"/>
        <v>37290.76099999994</v>
      </c>
    </row>
    <row r="25" spans="1:17" ht="12.75">
      <c r="A25" s="26" t="s">
        <v>44</v>
      </c>
      <c r="B25" s="11" t="s">
        <v>45</v>
      </c>
      <c r="C25" s="27">
        <v>52309.459199999925</v>
      </c>
      <c r="D25" s="27">
        <v>0.0014</v>
      </c>
      <c r="E25" s="1">
        <f t="shared" si="0"/>
        <v>3.01191151427657</v>
      </c>
      <c r="F25" s="1">
        <f t="shared" si="1"/>
        <v>3</v>
      </c>
      <c r="G25" s="1">
        <f t="shared" si="2"/>
        <v>0.004619999926944729</v>
      </c>
      <c r="K25" s="1">
        <f>+G25</f>
        <v>0.004619999926944729</v>
      </c>
      <c r="O25" s="1">
        <f t="shared" si="3"/>
        <v>-5.9255447979239805E-05</v>
      </c>
      <c r="Q25" s="56">
        <f t="shared" si="4"/>
        <v>37290.959199999925</v>
      </c>
    </row>
    <row r="26" spans="1:17" ht="12.75">
      <c r="A26" s="26" t="s">
        <v>44</v>
      </c>
      <c r="B26" s="11" t="s">
        <v>43</v>
      </c>
      <c r="C26" s="27">
        <v>52310.4216</v>
      </c>
      <c r="D26" s="27">
        <v>0.0011</v>
      </c>
      <c r="E26" s="1">
        <f t="shared" si="0"/>
        <v>5.493219202815581</v>
      </c>
      <c r="F26" s="1">
        <f t="shared" si="1"/>
        <v>5.5</v>
      </c>
      <c r="G26" s="1">
        <f t="shared" si="2"/>
        <v>-0.0026299999954062514</v>
      </c>
      <c r="K26" s="1">
        <f>+G26</f>
        <v>-0.0026299999954062514</v>
      </c>
      <c r="O26" s="1">
        <f t="shared" si="3"/>
        <v>0.00013801312211148968</v>
      </c>
      <c r="Q26" s="56">
        <f t="shared" si="4"/>
        <v>37291.9216</v>
      </c>
    </row>
    <row r="27" spans="1:17" ht="12.75">
      <c r="A27" s="23" t="s">
        <v>42</v>
      </c>
      <c r="B27" s="29"/>
      <c r="C27" s="25">
        <v>52320.3137</v>
      </c>
      <c r="D27" s="25">
        <v>0.0005</v>
      </c>
      <c r="E27" s="1">
        <f t="shared" si="0"/>
        <v>30.997524880114863</v>
      </c>
      <c r="F27" s="1">
        <f t="shared" si="1"/>
        <v>31</v>
      </c>
      <c r="G27" s="1">
        <f t="shared" si="2"/>
        <v>-0.000959999997576233</v>
      </c>
      <c r="J27" s="1">
        <f>+G27</f>
        <v>-0.000959999997576233</v>
      </c>
      <c r="O27" s="1">
        <f t="shared" si="3"/>
        <v>0.0021501525370369303</v>
      </c>
      <c r="Q27" s="56">
        <f t="shared" si="4"/>
        <v>37301.8137</v>
      </c>
    </row>
    <row r="28" spans="1:17" ht="12.75">
      <c r="A28" s="36" t="s">
        <v>44</v>
      </c>
      <c r="B28" s="37" t="s">
        <v>45</v>
      </c>
      <c r="C28" s="38">
        <v>52320.314199999906</v>
      </c>
      <c r="D28" s="38">
        <v>0.0004</v>
      </c>
      <c r="E28" s="1">
        <f t="shared" si="0"/>
        <v>30.998814004817934</v>
      </c>
      <c r="F28" s="1">
        <f t="shared" si="1"/>
        <v>31</v>
      </c>
      <c r="G28" s="1">
        <f t="shared" si="2"/>
        <v>-0.0004600000902428292</v>
      </c>
      <c r="K28" s="1">
        <f aca="true" t="shared" si="5" ref="K28:K36">+G28</f>
        <v>-0.0004600000902428292</v>
      </c>
      <c r="O28" s="1">
        <f t="shared" si="3"/>
        <v>0.0021501525370369303</v>
      </c>
      <c r="Q28" s="56">
        <f t="shared" si="4"/>
        <v>37301.814199999906</v>
      </c>
    </row>
    <row r="29" spans="1:17" ht="12.75">
      <c r="A29" s="38" t="s">
        <v>46</v>
      </c>
      <c r="B29" s="37" t="s">
        <v>43</v>
      </c>
      <c r="C29" s="38">
        <v>54787.8075</v>
      </c>
      <c r="D29" s="38">
        <v>0.0014</v>
      </c>
      <c r="E29" s="1">
        <f t="shared" si="0"/>
        <v>6392.8131284484225</v>
      </c>
      <c r="F29" s="39">
        <f>ROUND(2*E29,0)/2-1.5</f>
        <v>6391.5</v>
      </c>
      <c r="G29" s="1">
        <f t="shared" si="2"/>
        <v>0.5093100000085542</v>
      </c>
      <c r="K29" s="1">
        <f t="shared" si="5"/>
        <v>0.5093100000085542</v>
      </c>
      <c r="O29" s="1">
        <f t="shared" si="3"/>
        <v>0.5040408485618708</v>
      </c>
      <c r="Q29" s="56">
        <f t="shared" si="4"/>
        <v>39769.3075</v>
      </c>
    </row>
    <row r="30" spans="1:17" ht="12.75">
      <c r="A30" s="38" t="s">
        <v>47</v>
      </c>
      <c r="B30" s="37" t="s">
        <v>43</v>
      </c>
      <c r="C30" s="38">
        <v>54716.61982</v>
      </c>
      <c r="D30" s="38">
        <v>0.0006</v>
      </c>
      <c r="E30" s="1">
        <f t="shared" si="0"/>
        <v>6209.2735007476995</v>
      </c>
      <c r="F30" s="39">
        <f>ROUND(2*E30,0)/2-1.5</f>
        <v>6208</v>
      </c>
      <c r="G30" s="1">
        <f t="shared" si="2"/>
        <v>0.49394000000029337</v>
      </c>
      <c r="K30" s="1">
        <f t="shared" si="5"/>
        <v>0.49394000000029337</v>
      </c>
      <c r="O30" s="1">
        <f t="shared" si="3"/>
        <v>0.4895613355172113</v>
      </c>
      <c r="Q30" s="56">
        <f t="shared" si="4"/>
        <v>39698.11982</v>
      </c>
    </row>
    <row r="31" spans="1:17" ht="12.75">
      <c r="A31" s="40" t="s">
        <v>48</v>
      </c>
      <c r="B31" s="37" t="s">
        <v>43</v>
      </c>
      <c r="C31" s="38">
        <v>54857.44192</v>
      </c>
      <c r="D31" s="38">
        <v>0.0003</v>
      </c>
      <c r="E31" s="1">
        <f t="shared" si="0"/>
        <v>6572.348063734337</v>
      </c>
      <c r="F31" s="39">
        <f>ROUND(2*E31,0)/2-1.5</f>
        <v>6571</v>
      </c>
      <c r="G31" s="1">
        <f t="shared" si="2"/>
        <v>0.5228599999973085</v>
      </c>
      <c r="K31" s="1">
        <f t="shared" si="5"/>
        <v>0.5228599999973085</v>
      </c>
      <c r="O31" s="1">
        <f t="shared" si="3"/>
        <v>0.5182047318943852</v>
      </c>
      <c r="Q31" s="56">
        <f t="shared" si="4"/>
        <v>39838.94192</v>
      </c>
    </row>
    <row r="32" spans="1:17" ht="12.75">
      <c r="A32" s="41" t="s">
        <v>55</v>
      </c>
      <c r="B32" s="31" t="s">
        <v>45</v>
      </c>
      <c r="C32" s="30">
        <v>56656.7027</v>
      </c>
      <c r="D32" s="30">
        <v>0.0002</v>
      </c>
      <c r="E32" s="1">
        <f aca="true" t="shared" si="6" ref="E32:E38">+(C32-C$7)/C$8</f>
        <v>11211.291961016874</v>
      </c>
      <c r="F32" s="42">
        <f aca="true" t="shared" si="7" ref="F32:F37">ROUND(2*E32,0)/2-2.5</f>
        <v>11209</v>
      </c>
      <c r="G32" s="1">
        <f aca="true" t="shared" si="8" ref="G32:G38">+C32-(C$7+F32*C$8)</f>
        <v>0.8889600000038627</v>
      </c>
      <c r="K32" s="1">
        <f t="shared" si="5"/>
        <v>0.8889600000038627</v>
      </c>
      <c r="O32" s="1">
        <f aca="true" t="shared" si="9" ref="O32:O38">+C$11+C$12*$F32</f>
        <v>0.8841773831267066</v>
      </c>
      <c r="Q32" s="56">
        <f aca="true" t="shared" si="10" ref="Q32:Q38">+C32-15018.5</f>
        <v>41638.2027</v>
      </c>
    </row>
    <row r="33" spans="1:17" ht="12.75">
      <c r="A33" s="41" t="s">
        <v>55</v>
      </c>
      <c r="B33" s="31" t="s">
        <v>43</v>
      </c>
      <c r="C33" s="30">
        <v>56657.6748</v>
      </c>
      <c r="D33" s="30">
        <v>0.0003</v>
      </c>
      <c r="E33" s="1">
        <f t="shared" si="6"/>
        <v>11213.798277729087</v>
      </c>
      <c r="F33" s="42">
        <f t="shared" si="7"/>
        <v>11211.5</v>
      </c>
      <c r="G33" s="1">
        <f t="shared" si="8"/>
        <v>0.8914100000038161</v>
      </c>
      <c r="K33" s="1">
        <f t="shared" si="5"/>
        <v>0.8914100000038161</v>
      </c>
      <c r="O33" s="1">
        <f t="shared" si="9"/>
        <v>0.8843746516967973</v>
      </c>
      <c r="Q33" s="56">
        <f t="shared" si="10"/>
        <v>41639.1748</v>
      </c>
    </row>
    <row r="34" spans="1:17" ht="12.75">
      <c r="A34" s="41" t="s">
        <v>55</v>
      </c>
      <c r="B34" s="31" t="s">
        <v>45</v>
      </c>
      <c r="C34" s="30">
        <v>56663.6883</v>
      </c>
      <c r="D34" s="30">
        <v>0.0002</v>
      </c>
      <c r="E34" s="1">
        <f t="shared" si="6"/>
        <v>11229.302583406396</v>
      </c>
      <c r="F34" s="42">
        <f t="shared" si="7"/>
        <v>11227</v>
      </c>
      <c r="G34" s="1">
        <f t="shared" si="8"/>
        <v>0.8930800000016461</v>
      </c>
      <c r="K34" s="1">
        <f t="shared" si="5"/>
        <v>0.8930800000016461</v>
      </c>
      <c r="O34" s="1">
        <f t="shared" si="9"/>
        <v>0.8855977168313598</v>
      </c>
      <c r="Q34" s="56">
        <f t="shared" si="10"/>
        <v>41645.1883</v>
      </c>
    </row>
    <row r="35" spans="1:17" ht="12.75">
      <c r="A35" s="43" t="s">
        <v>56</v>
      </c>
      <c r="B35" s="44" t="s">
        <v>45</v>
      </c>
      <c r="C35" s="45">
        <v>57409.29509</v>
      </c>
      <c r="D35" s="45">
        <v>0.0008</v>
      </c>
      <c r="E35" s="1">
        <f t="shared" si="6"/>
        <v>13151.663203217662</v>
      </c>
      <c r="F35" s="42">
        <f t="shared" si="7"/>
        <v>13149</v>
      </c>
      <c r="G35" s="1">
        <f t="shared" si="8"/>
        <v>1.0329500000007101</v>
      </c>
      <c r="K35" s="1">
        <f t="shared" si="5"/>
        <v>1.0329500000007101</v>
      </c>
      <c r="O35" s="1">
        <f t="shared" si="9"/>
        <v>1.0372577935171126</v>
      </c>
      <c r="Q35" s="56">
        <f t="shared" si="10"/>
        <v>42390.79509</v>
      </c>
    </row>
    <row r="36" spans="1:17" ht="12.75">
      <c r="A36" s="43" t="s">
        <v>56</v>
      </c>
      <c r="B36" s="44" t="s">
        <v>45</v>
      </c>
      <c r="C36" s="45">
        <v>57409.29918</v>
      </c>
      <c r="D36" s="45">
        <v>0.0013</v>
      </c>
      <c r="E36" s="1">
        <f t="shared" si="6"/>
        <v>13151.673748259693</v>
      </c>
      <c r="F36" s="42">
        <f t="shared" si="7"/>
        <v>13149</v>
      </c>
      <c r="G36" s="1">
        <f t="shared" si="8"/>
        <v>1.0370400000028894</v>
      </c>
      <c r="K36" s="1">
        <f t="shared" si="5"/>
        <v>1.0370400000028894</v>
      </c>
      <c r="O36" s="1">
        <f t="shared" si="9"/>
        <v>1.0372577935171126</v>
      </c>
      <c r="Q36" s="56">
        <f t="shared" si="10"/>
        <v>42390.79918</v>
      </c>
    </row>
    <row r="37" spans="1:17" ht="12.75">
      <c r="A37" s="46" t="s">
        <v>57</v>
      </c>
      <c r="B37" s="47" t="s">
        <v>45</v>
      </c>
      <c r="C37" s="46">
        <v>57037.6486</v>
      </c>
      <c r="D37" s="46">
        <v>0.0004</v>
      </c>
      <c r="E37" s="1">
        <f t="shared" si="6"/>
        <v>12193.465683494052</v>
      </c>
      <c r="F37" s="42">
        <f t="shared" si="7"/>
        <v>12191</v>
      </c>
      <c r="G37" s="1">
        <f t="shared" si="8"/>
        <v>0.9563400000042748</v>
      </c>
      <c r="K37" s="1">
        <f>+G37</f>
        <v>0.9563400000042748</v>
      </c>
      <c r="O37" s="1">
        <f t="shared" si="9"/>
        <v>0.961664477458345</v>
      </c>
      <c r="Q37" s="56">
        <f t="shared" si="10"/>
        <v>42019.1486</v>
      </c>
    </row>
    <row r="38" spans="1:17" ht="12.75">
      <c r="A38" s="48" t="s">
        <v>58</v>
      </c>
      <c r="B38" s="49" t="s">
        <v>43</v>
      </c>
      <c r="C38" s="50">
        <v>58074.0322</v>
      </c>
      <c r="D38" s="51" t="s">
        <v>59</v>
      </c>
      <c r="E38" s="1">
        <f t="shared" si="6"/>
        <v>14865.52157995154</v>
      </c>
      <c r="F38" s="52">
        <f>ROUND(2*E38,0)/2-3</f>
        <v>14862.5</v>
      </c>
      <c r="G38" s="1">
        <f t="shared" si="8"/>
        <v>1.1719500000035623</v>
      </c>
      <c r="K38" s="1">
        <f>+G38</f>
        <v>1.1719500000035623</v>
      </c>
      <c r="O38" s="1">
        <f t="shared" si="9"/>
        <v>1.1724656714572985</v>
      </c>
      <c r="Q38" s="56">
        <f t="shared" si="10"/>
        <v>43055.5322</v>
      </c>
    </row>
    <row r="39" spans="1:17" ht="12.75">
      <c r="A39" s="53" t="s">
        <v>60</v>
      </c>
      <c r="B39" s="54" t="s">
        <v>45</v>
      </c>
      <c r="C39" s="55">
        <v>58104.48136000009</v>
      </c>
      <c r="D39" s="55">
        <v>0.0007</v>
      </c>
      <c r="E39" s="1">
        <f>+(C39-C$7)/C$8</f>
        <v>14944.027123189026</v>
      </c>
      <c r="F39" s="52">
        <f>ROUND(2*E39,0)/2-3</f>
        <v>14941</v>
      </c>
      <c r="G39" s="1">
        <f>+C39-(C$7+F39*C$8)</f>
        <v>1.1741000000984059</v>
      </c>
      <c r="K39" s="1">
        <f>+G39</f>
        <v>1.1741000000984059</v>
      </c>
      <c r="O39" s="1">
        <f>+C$11+C$12*$F39</f>
        <v>1.1786599045581476</v>
      </c>
      <c r="Q39" s="56">
        <f>+C39-15018.5</f>
        <v>43085.98136000009</v>
      </c>
    </row>
    <row r="40" spans="1:17" ht="12.75">
      <c r="A40" s="53" t="s">
        <v>60</v>
      </c>
      <c r="B40" s="54" t="s">
        <v>45</v>
      </c>
      <c r="C40" s="55">
        <v>58104.48217000021</v>
      </c>
      <c r="D40" s="55">
        <v>0.0005</v>
      </c>
      <c r="E40" s="1">
        <f>+(C40-C$7)/C$8</f>
        <v>14944.029211571726</v>
      </c>
      <c r="F40" s="52">
        <f>ROUND(2*E40,0)/2-3</f>
        <v>14941</v>
      </c>
      <c r="G40" s="1">
        <f>+C40-(C$7+F40*C$8)</f>
        <v>1.1749100002125488</v>
      </c>
      <c r="K40" s="1">
        <f>+G40</f>
        <v>1.1749100002125488</v>
      </c>
      <c r="O40" s="1">
        <f>+C$11+C$12*$F40</f>
        <v>1.1786599045581476</v>
      </c>
      <c r="Q40" s="56">
        <f>+C40-15018.5</f>
        <v>43085.98217000021</v>
      </c>
    </row>
    <row r="41" spans="1:17" ht="12.75">
      <c r="A41" s="53" t="s">
        <v>60</v>
      </c>
      <c r="B41" s="54" t="s">
        <v>45</v>
      </c>
      <c r="C41" s="55">
        <v>58104.48247000016</v>
      </c>
      <c r="D41" s="55">
        <v>0.0021</v>
      </c>
      <c r="E41" s="1">
        <f>+(C41-C$7)/C$8</f>
        <v>14944.029985046578</v>
      </c>
      <c r="F41" s="52">
        <f>ROUND(2*E41,0)/2-3</f>
        <v>14941</v>
      </c>
      <c r="G41" s="1">
        <f>+C41-(C$7+F41*C$8)</f>
        <v>1.1752100001685903</v>
      </c>
      <c r="K41" s="1">
        <f>+G41</f>
        <v>1.1752100001685903</v>
      </c>
      <c r="O41" s="1">
        <f>+C$11+C$12*$F41</f>
        <v>1.1786599045581476</v>
      </c>
      <c r="Q41" s="56">
        <f>+C41-15018.5</f>
        <v>43085.98247000016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Q41"/>
  <sheetViews>
    <sheetView zoomScalePageLayoutView="0" workbookViewId="0" topLeftCell="A1">
      <selection activeCell="F12" sqref="F12"/>
    </sheetView>
  </sheetViews>
  <sheetFormatPr defaultColWidth="10.28125" defaultRowHeight="12.75"/>
  <cols>
    <col min="1" max="1" width="14.421875" style="1" customWidth="1"/>
    <col min="2" max="2" width="5.140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2" ht="12.75">
      <c r="A2" s="1" t="s">
        <v>1</v>
      </c>
      <c r="B2" s="1" t="s">
        <v>2</v>
      </c>
    </row>
    <row r="4" spans="1:4" ht="12.75">
      <c r="A4" s="3" t="s">
        <v>3</v>
      </c>
      <c r="C4" s="4" t="s">
        <v>4</v>
      </c>
      <c r="D4" s="5" t="s">
        <v>4</v>
      </c>
    </row>
    <row r="5" spans="1:4" ht="12.75">
      <c r="A5" s="7" t="s">
        <v>9</v>
      </c>
      <c r="B5"/>
      <c r="C5" s="8">
        <v>-9.5</v>
      </c>
      <c r="D5" t="s">
        <v>10</v>
      </c>
    </row>
    <row r="6" ht="12.75">
      <c r="A6" s="3" t="s">
        <v>5</v>
      </c>
    </row>
    <row r="7" spans="1:4" ht="12.75">
      <c r="A7" s="1" t="s">
        <v>6</v>
      </c>
      <c r="C7" s="1">
        <v>52308.291</v>
      </c>
      <c r="D7" s="6" t="s">
        <v>7</v>
      </c>
    </row>
    <row r="8" spans="1:4" ht="12.75">
      <c r="A8" s="1" t="s">
        <v>8</v>
      </c>
      <c r="C8" s="1">
        <v>0.3879390881282945</v>
      </c>
      <c r="D8" s="6">
        <v>5260</v>
      </c>
    </row>
    <row r="9" spans="1:4" ht="12.75">
      <c r="A9" s="21" t="s">
        <v>25</v>
      </c>
      <c r="B9" s="6">
        <v>21</v>
      </c>
      <c r="C9" s="12" t="str">
        <f>"F"&amp;B9</f>
        <v>F21</v>
      </c>
      <c r="D9" s="13" t="str">
        <f>"G"&amp;B9</f>
        <v>G21</v>
      </c>
    </row>
    <row r="10" spans="1:5" ht="12.75">
      <c r="A10"/>
      <c r="B10"/>
      <c r="C10" s="9" t="s">
        <v>11</v>
      </c>
      <c r="D10" s="9" t="s">
        <v>12</v>
      </c>
      <c r="E10"/>
    </row>
    <row r="11" spans="1:5" ht="12.75">
      <c r="A11" t="s">
        <v>13</v>
      </c>
      <c r="B11"/>
      <c r="C11" s="10">
        <f ca="1">INTERCEPT(INDIRECT($D$9):G987,INDIRECT($C$9):F987)</f>
        <v>-0.00029597773172846255</v>
      </c>
      <c r="D11" s="11"/>
      <c r="E11"/>
    </row>
    <row r="12" spans="1:5" ht="12.75">
      <c r="A12" t="s">
        <v>14</v>
      </c>
      <c r="B12"/>
      <c r="C12" s="10">
        <f ca="1">SLOPE(INDIRECT($D$9):G987,INDIRECT($C$9):F987)</f>
        <v>-1.8070025830434675E-07</v>
      </c>
      <c r="D12" s="11"/>
      <c r="E12"/>
    </row>
    <row r="13" spans="1:3" ht="12.75">
      <c r="A13" t="s">
        <v>15</v>
      </c>
      <c r="B13"/>
      <c r="C13" s="11" t="s">
        <v>16</v>
      </c>
    </row>
    <row r="14" spans="1:3" ht="12.75">
      <c r="A14"/>
      <c r="B14"/>
      <c r="C14"/>
    </row>
    <row r="15" spans="1:6" ht="12.75">
      <c r="A15" s="14" t="s">
        <v>17</v>
      </c>
      <c r="B15"/>
      <c r="C15" s="15">
        <f>(C7+C11)+(C8+C12)*INT(MAX(F21:F3528))</f>
        <v>58104.48591990455</v>
      </c>
      <c r="E15" s="16" t="s">
        <v>49</v>
      </c>
      <c r="F15" s="8">
        <v>1</v>
      </c>
    </row>
    <row r="16" spans="1:6" ht="12.75">
      <c r="A16" s="14" t="s">
        <v>19</v>
      </c>
      <c r="B16"/>
      <c r="C16" s="15">
        <f>+C8+C12</f>
        <v>0.38793890742803616</v>
      </c>
      <c r="E16" s="16" t="s">
        <v>18</v>
      </c>
      <c r="F16" s="10">
        <f ca="1">NOW()+15018.5+$C$5/24</f>
        <v>59907.693499305555</v>
      </c>
    </row>
    <row r="17" spans="1:6" ht="12.75">
      <c r="A17" s="16" t="s">
        <v>21</v>
      </c>
      <c r="B17"/>
      <c r="C17">
        <f>COUNT(C21:C2186)</f>
        <v>21</v>
      </c>
      <c r="E17" s="16" t="s">
        <v>50</v>
      </c>
      <c r="F17" s="10">
        <f>ROUND(2*(F16-$C$7)/$C$8,0)/2+F15</f>
        <v>19590</v>
      </c>
    </row>
    <row r="18" spans="1:6" ht="12.75">
      <c r="A18" s="14" t="s">
        <v>23</v>
      </c>
      <c r="B18"/>
      <c r="C18" s="18">
        <f>+C15</f>
        <v>58104.48591990455</v>
      </c>
      <c r="D18" s="19">
        <f>+C16</f>
        <v>0.38793890742803616</v>
      </c>
      <c r="E18" s="16" t="s">
        <v>20</v>
      </c>
      <c r="F18" s="13">
        <f>ROUND(2*(F16-$C$15)/$C$16,0)/2+F15</f>
        <v>4649</v>
      </c>
    </row>
    <row r="19" spans="5:6" ht="12.75">
      <c r="E19" s="16" t="s">
        <v>22</v>
      </c>
      <c r="F19" s="17">
        <f>+$C$15+$C$16*F18-15018.5-$C$5/24</f>
        <v>44889.90973387083</v>
      </c>
    </row>
    <row r="20" spans="1:17" ht="12.75">
      <c r="A20" s="9" t="s">
        <v>26</v>
      </c>
      <c r="B20" s="9" t="s">
        <v>27</v>
      </c>
      <c r="C20" s="9" t="s">
        <v>28</v>
      </c>
      <c r="D20" s="9" t="s">
        <v>29</v>
      </c>
      <c r="E20" s="9" t="s">
        <v>30</v>
      </c>
      <c r="F20" s="9" t="s">
        <v>31</v>
      </c>
      <c r="G20" s="9" t="s">
        <v>32</v>
      </c>
      <c r="H20" s="22" t="s">
        <v>51</v>
      </c>
      <c r="I20" s="22" t="s">
        <v>52</v>
      </c>
      <c r="J20" s="22" t="s">
        <v>53</v>
      </c>
      <c r="K20" s="22" t="s">
        <v>54</v>
      </c>
      <c r="L20" s="22" t="s">
        <v>36</v>
      </c>
      <c r="M20" s="22" t="s">
        <v>37</v>
      </c>
      <c r="N20" s="22" t="s">
        <v>38</v>
      </c>
      <c r="O20" s="22" t="s">
        <v>39</v>
      </c>
      <c r="P20" s="22" t="s">
        <v>40</v>
      </c>
      <c r="Q20" s="9" t="s">
        <v>41</v>
      </c>
    </row>
    <row r="21" spans="1:17" ht="12.75">
      <c r="A21" s="23" t="s">
        <v>42</v>
      </c>
      <c r="B21" s="24" t="s">
        <v>43</v>
      </c>
      <c r="C21" s="25">
        <v>52307.3134</v>
      </c>
      <c r="D21" s="25">
        <v>0.0006</v>
      </c>
      <c r="E21" s="1">
        <f aca="true" t="shared" si="0" ref="E21:E38">+(C21-C$7)/C$8</f>
        <v>-2.5199832394178516</v>
      </c>
      <c r="F21" s="1">
        <f aca="true" t="shared" si="1" ref="F21:F38">ROUND(2*E21,0)/2</f>
        <v>-2.5</v>
      </c>
      <c r="G21" s="1">
        <f aca="true" t="shared" si="2" ref="G21:G38">+C21-(C$7+F21*C$8)</f>
        <v>-0.007752279678243212</v>
      </c>
      <c r="J21" s="1">
        <f>+G21</f>
        <v>-0.007752279678243212</v>
      </c>
      <c r="O21" s="1">
        <f aca="true" t="shared" si="3" ref="O21:O38">+C$11+C$12*$F21</f>
        <v>-0.00029552598108270167</v>
      </c>
      <c r="Q21" s="56">
        <f aca="true" t="shared" si="4" ref="Q21:Q38">+C21-15018.5</f>
        <v>37288.8134</v>
      </c>
    </row>
    <row r="22" spans="1:17" ht="12.75">
      <c r="A22" s="26" t="s">
        <v>44</v>
      </c>
      <c r="B22" s="11" t="s">
        <v>43</v>
      </c>
      <c r="C22" s="27">
        <v>52307.319500000216</v>
      </c>
      <c r="D22" s="27">
        <v>0.0009</v>
      </c>
      <c r="E22" s="1">
        <f t="shared" si="0"/>
        <v>-2.504259120854791</v>
      </c>
      <c r="F22" s="1">
        <f t="shared" si="1"/>
        <v>-2.5</v>
      </c>
      <c r="G22" s="1">
        <f t="shared" si="2"/>
        <v>-0.0016522794612683356</v>
      </c>
      <c r="K22" s="1">
        <f>+G22</f>
        <v>-0.0016522794612683356</v>
      </c>
      <c r="O22" s="1">
        <f t="shared" si="3"/>
        <v>-0.00029552598108270167</v>
      </c>
      <c r="Q22" s="56">
        <f t="shared" si="4"/>
        <v>37288.819500000216</v>
      </c>
    </row>
    <row r="23" spans="1:17" ht="12.75">
      <c r="A23" s="26" t="s">
        <v>44</v>
      </c>
      <c r="B23" s="11" t="s">
        <v>45</v>
      </c>
      <c r="C23" s="27">
        <v>52308.29139999999</v>
      </c>
      <c r="D23" s="27">
        <v>0.0007</v>
      </c>
      <c r="E23" s="1">
        <f t="shared" si="0"/>
        <v>0.0010310896791170137</v>
      </c>
      <c r="F23" s="1">
        <f t="shared" si="1"/>
        <v>0</v>
      </c>
      <c r="G23" s="1">
        <f t="shared" si="2"/>
        <v>0.00039999998989515007</v>
      </c>
      <c r="K23" s="1">
        <f>+G23</f>
        <v>0.00039999998989515007</v>
      </c>
      <c r="O23" s="1">
        <f t="shared" si="3"/>
        <v>-0.00029597773172846255</v>
      </c>
      <c r="Q23" s="56">
        <f t="shared" si="4"/>
        <v>37289.79139999999</v>
      </c>
    </row>
    <row r="24" spans="1:17" ht="12.75">
      <c r="A24" s="26" t="s">
        <v>44</v>
      </c>
      <c r="B24" s="28" t="s">
        <v>43</v>
      </c>
      <c r="C24" s="27">
        <v>52309.26099999994</v>
      </c>
      <c r="D24" s="27">
        <v>0.0006</v>
      </c>
      <c r="E24" s="1">
        <f t="shared" si="0"/>
        <v>2.5003925348769442</v>
      </c>
      <c r="F24" s="1">
        <f t="shared" si="1"/>
        <v>2.5</v>
      </c>
      <c r="G24" s="1">
        <f t="shared" si="2"/>
        <v>0.00015227962285280228</v>
      </c>
      <c r="K24" s="1">
        <f>+G24</f>
        <v>0.00015227962285280228</v>
      </c>
      <c r="O24" s="1">
        <f t="shared" si="3"/>
        <v>-0.00029642948237422343</v>
      </c>
      <c r="Q24" s="56">
        <f t="shared" si="4"/>
        <v>37290.76099999994</v>
      </c>
    </row>
    <row r="25" spans="1:17" ht="12.75">
      <c r="A25" s="26" t="s">
        <v>44</v>
      </c>
      <c r="B25" s="11" t="s">
        <v>45</v>
      </c>
      <c r="C25" s="27">
        <v>52309.459199999925</v>
      </c>
      <c r="D25" s="27">
        <v>0.0014</v>
      </c>
      <c r="E25" s="1">
        <f t="shared" si="0"/>
        <v>3.0112974837456377</v>
      </c>
      <c r="F25" s="1">
        <f t="shared" si="1"/>
        <v>3</v>
      </c>
      <c r="G25" s="1">
        <f t="shared" si="2"/>
        <v>0.004382735540275462</v>
      </c>
      <c r="K25" s="1">
        <f>+G25</f>
        <v>0.004382735540275462</v>
      </c>
      <c r="O25" s="1">
        <f t="shared" si="3"/>
        <v>-0.00029651983250337556</v>
      </c>
      <c r="Q25" s="56">
        <f t="shared" si="4"/>
        <v>37290.959199999925</v>
      </c>
    </row>
    <row r="26" spans="1:17" ht="12.75">
      <c r="A26" s="26" t="s">
        <v>44</v>
      </c>
      <c r="B26" s="11" t="s">
        <v>43</v>
      </c>
      <c r="C26" s="27">
        <v>52310.4216</v>
      </c>
      <c r="D26" s="27">
        <v>0.0011</v>
      </c>
      <c r="E26" s="1">
        <f t="shared" si="0"/>
        <v>5.492099314569315</v>
      </c>
      <c r="F26" s="1">
        <f t="shared" si="1"/>
        <v>5.5</v>
      </c>
      <c r="G26" s="1">
        <f t="shared" si="2"/>
        <v>-0.003064984703087248</v>
      </c>
      <c r="K26" s="1">
        <f>+G26</f>
        <v>-0.003064984703087248</v>
      </c>
      <c r="O26" s="1">
        <f t="shared" si="3"/>
        <v>-0.00029697158314913644</v>
      </c>
      <c r="Q26" s="56">
        <f t="shared" si="4"/>
        <v>37291.9216</v>
      </c>
    </row>
    <row r="27" spans="1:17" ht="12.75">
      <c r="A27" s="23" t="s">
        <v>42</v>
      </c>
      <c r="B27" s="29"/>
      <c r="C27" s="25">
        <v>52320.3137</v>
      </c>
      <c r="D27" s="25">
        <v>0.0005</v>
      </c>
      <c r="E27" s="1">
        <f t="shared" si="0"/>
        <v>30.991205495707487</v>
      </c>
      <c r="F27" s="1">
        <f t="shared" si="1"/>
        <v>31</v>
      </c>
      <c r="G27" s="1">
        <f t="shared" si="2"/>
        <v>-0.0034117319737561047</v>
      </c>
      <c r="J27" s="1">
        <f>+G27</f>
        <v>-0.0034117319737561047</v>
      </c>
      <c r="O27" s="1">
        <f t="shared" si="3"/>
        <v>-0.0003015794397358973</v>
      </c>
      <c r="Q27" s="56">
        <f t="shared" si="4"/>
        <v>37301.8137</v>
      </c>
    </row>
    <row r="28" spans="1:17" ht="12.75">
      <c r="A28" s="36" t="s">
        <v>44</v>
      </c>
      <c r="B28" s="37" t="s">
        <v>45</v>
      </c>
      <c r="C28" s="38">
        <v>52320.314199999906</v>
      </c>
      <c r="D28" s="38">
        <v>0.0004</v>
      </c>
      <c r="E28" s="1">
        <f t="shared" si="0"/>
        <v>30.992494357600073</v>
      </c>
      <c r="F28" s="1">
        <f t="shared" si="1"/>
        <v>31</v>
      </c>
      <c r="G28" s="1">
        <f t="shared" si="2"/>
        <v>-0.002911732066422701</v>
      </c>
      <c r="K28" s="1">
        <f aca="true" t="shared" si="5" ref="K28:K38">+G28</f>
        <v>-0.002911732066422701</v>
      </c>
      <c r="O28" s="1">
        <f t="shared" si="3"/>
        <v>-0.0003015794397358973</v>
      </c>
      <c r="Q28" s="56">
        <f t="shared" si="4"/>
        <v>37301.814199999906</v>
      </c>
    </row>
    <row r="29" spans="1:17" ht="12.75">
      <c r="A29" s="38" t="s">
        <v>46</v>
      </c>
      <c r="B29" s="37" t="s">
        <v>43</v>
      </c>
      <c r="C29" s="38">
        <v>54787.8075</v>
      </c>
      <c r="D29" s="38">
        <v>0.0014</v>
      </c>
      <c r="E29" s="1">
        <f t="shared" si="0"/>
        <v>6391.509842338985</v>
      </c>
      <c r="F29" s="1">
        <f t="shared" si="1"/>
        <v>6391.5</v>
      </c>
      <c r="G29" s="1">
        <f t="shared" si="2"/>
        <v>0.003818228011368774</v>
      </c>
      <c r="K29" s="1">
        <f t="shared" si="5"/>
        <v>0.003818228011368774</v>
      </c>
      <c r="O29" s="1">
        <f t="shared" si="3"/>
        <v>-0.0014509234326806949</v>
      </c>
      <c r="Q29" s="56">
        <f t="shared" si="4"/>
        <v>39769.3075</v>
      </c>
    </row>
    <row r="30" spans="1:17" ht="12.75">
      <c r="A30" s="38" t="s">
        <v>47</v>
      </c>
      <c r="B30" s="37" t="s">
        <v>43</v>
      </c>
      <c r="C30" s="38">
        <v>54716.61982</v>
      </c>
      <c r="D30" s="38">
        <v>0.0006</v>
      </c>
      <c r="E30" s="1">
        <f t="shared" si="0"/>
        <v>6208.007632382611</v>
      </c>
      <c r="F30" s="1">
        <f t="shared" si="1"/>
        <v>6208</v>
      </c>
      <c r="G30" s="1">
        <f t="shared" si="2"/>
        <v>0.0029608995537273586</v>
      </c>
      <c r="K30" s="1">
        <f t="shared" si="5"/>
        <v>0.0029608995537273586</v>
      </c>
      <c r="O30" s="1">
        <f t="shared" si="3"/>
        <v>-0.0014177649352818472</v>
      </c>
      <c r="Q30" s="56">
        <f t="shared" si="4"/>
        <v>39698.11982</v>
      </c>
    </row>
    <row r="31" spans="1:17" ht="12.75">
      <c r="A31" s="40" t="s">
        <v>48</v>
      </c>
      <c r="B31" s="37" t="s">
        <v>43</v>
      </c>
      <c r="C31" s="38">
        <v>54857.44192</v>
      </c>
      <c r="D31" s="38">
        <v>0.0003</v>
      </c>
      <c r="E31" s="1">
        <f t="shared" si="0"/>
        <v>6571.00817630673</v>
      </c>
      <c r="F31" s="1">
        <f t="shared" si="1"/>
        <v>6571</v>
      </c>
      <c r="G31" s="1">
        <f t="shared" si="2"/>
        <v>0.0031719089747639373</v>
      </c>
      <c r="K31" s="1">
        <f t="shared" si="5"/>
        <v>0.0031719089747639373</v>
      </c>
      <c r="O31" s="1">
        <f t="shared" si="3"/>
        <v>-0.0014833591290463251</v>
      </c>
      <c r="Q31" s="56">
        <f t="shared" si="4"/>
        <v>39838.94192</v>
      </c>
    </row>
    <row r="32" spans="1:17" ht="12.75">
      <c r="A32" s="41" t="s">
        <v>55</v>
      </c>
      <c r="B32" s="31" t="s">
        <v>45</v>
      </c>
      <c r="C32" s="30">
        <v>56656.7027</v>
      </c>
      <c r="D32" s="30">
        <v>0.0002</v>
      </c>
      <c r="E32" s="1">
        <f t="shared" si="0"/>
        <v>11209.0063442175</v>
      </c>
      <c r="F32" s="1">
        <f t="shared" si="1"/>
        <v>11209</v>
      </c>
      <c r="G32" s="1">
        <f t="shared" si="2"/>
        <v>0.0024611699554952793</v>
      </c>
      <c r="K32" s="1">
        <f t="shared" si="5"/>
        <v>0.0024611699554952793</v>
      </c>
      <c r="O32" s="1">
        <f t="shared" si="3"/>
        <v>-0.002321446927061885</v>
      </c>
      <c r="Q32" s="56">
        <f t="shared" si="4"/>
        <v>41638.2027</v>
      </c>
    </row>
    <row r="33" spans="1:17" ht="12.75">
      <c r="A33" s="41" t="s">
        <v>55</v>
      </c>
      <c r="B33" s="31" t="s">
        <v>43</v>
      </c>
      <c r="C33" s="30">
        <v>56657.6748</v>
      </c>
      <c r="D33" s="30">
        <v>0.0003</v>
      </c>
      <c r="E33" s="1">
        <f t="shared" si="0"/>
        <v>11211.512149973472</v>
      </c>
      <c r="F33" s="1">
        <f t="shared" si="1"/>
        <v>11211.5</v>
      </c>
      <c r="G33" s="1">
        <f t="shared" si="2"/>
        <v>0.004713449627161026</v>
      </c>
      <c r="K33" s="1">
        <f t="shared" si="5"/>
        <v>0.004713449627161026</v>
      </c>
      <c r="O33" s="1">
        <f t="shared" si="3"/>
        <v>-0.0023218986777076463</v>
      </c>
      <c r="Q33" s="56">
        <f t="shared" si="4"/>
        <v>41639.1748</v>
      </c>
    </row>
    <row r="34" spans="1:17" ht="12.75">
      <c r="A34" s="41" t="s">
        <v>55</v>
      </c>
      <c r="B34" s="31" t="s">
        <v>45</v>
      </c>
      <c r="C34" s="30">
        <v>56663.6883</v>
      </c>
      <c r="D34" s="30">
        <v>0.0002</v>
      </c>
      <c r="E34" s="1">
        <f t="shared" si="0"/>
        <v>11227.013294828492</v>
      </c>
      <c r="F34" s="1">
        <f t="shared" si="1"/>
        <v>11227</v>
      </c>
      <c r="G34" s="1">
        <f t="shared" si="2"/>
        <v>0.005157583640539087</v>
      </c>
      <c r="K34" s="1">
        <f t="shared" si="5"/>
        <v>0.005157583640539087</v>
      </c>
      <c r="O34" s="1">
        <f t="shared" si="3"/>
        <v>-0.0023246995317113637</v>
      </c>
      <c r="Q34" s="56">
        <f t="shared" si="4"/>
        <v>41645.1883</v>
      </c>
    </row>
    <row r="35" spans="1:17" ht="12.75">
      <c r="A35" s="43" t="s">
        <v>56</v>
      </c>
      <c r="B35" s="44" t="s">
        <v>45</v>
      </c>
      <c r="C35" s="45">
        <v>57409.29509</v>
      </c>
      <c r="D35" s="45">
        <v>0.0008</v>
      </c>
      <c r="E35" s="1">
        <f t="shared" si="0"/>
        <v>13148.982008002917</v>
      </c>
      <c r="F35" s="1">
        <f t="shared" si="1"/>
        <v>13149</v>
      </c>
      <c r="G35" s="1">
        <f t="shared" si="2"/>
        <v>-0.006979798941756599</v>
      </c>
      <c r="K35" s="1">
        <f t="shared" si="5"/>
        <v>-0.006979798941756599</v>
      </c>
      <c r="O35" s="1">
        <f t="shared" si="3"/>
        <v>-0.0026720054281723178</v>
      </c>
      <c r="Q35" s="56">
        <f t="shared" si="4"/>
        <v>42390.79509</v>
      </c>
    </row>
    <row r="36" spans="1:17" ht="12.75">
      <c r="A36" s="43" t="s">
        <v>56</v>
      </c>
      <c r="B36" s="44" t="s">
        <v>45</v>
      </c>
      <c r="C36" s="45">
        <v>57409.29918</v>
      </c>
      <c r="D36" s="45">
        <v>0.0013</v>
      </c>
      <c r="E36" s="1">
        <f t="shared" si="0"/>
        <v>13148.992550895158</v>
      </c>
      <c r="F36" s="1">
        <f t="shared" si="1"/>
        <v>13149</v>
      </c>
      <c r="G36" s="1">
        <f t="shared" si="2"/>
        <v>-0.002889798939577304</v>
      </c>
      <c r="K36" s="1">
        <f t="shared" si="5"/>
        <v>-0.002889798939577304</v>
      </c>
      <c r="O36" s="1">
        <f t="shared" si="3"/>
        <v>-0.0026720054281723178</v>
      </c>
      <c r="Q36" s="56">
        <f t="shared" si="4"/>
        <v>42390.79918</v>
      </c>
    </row>
    <row r="37" spans="1:17" ht="12.75">
      <c r="A37" s="46" t="s">
        <v>57</v>
      </c>
      <c r="B37" s="47" t="s">
        <v>45</v>
      </c>
      <c r="C37" s="46">
        <v>57037.6486</v>
      </c>
      <c r="D37" s="46">
        <v>0.0004</v>
      </c>
      <c r="E37" s="1">
        <f t="shared" si="0"/>
        <v>12190.979833504089</v>
      </c>
      <c r="F37" s="1">
        <f t="shared" si="1"/>
        <v>12191</v>
      </c>
      <c r="G37" s="1">
        <f t="shared" si="2"/>
        <v>-0.007823372034181375</v>
      </c>
      <c r="K37" s="1">
        <f t="shared" si="5"/>
        <v>-0.007823372034181375</v>
      </c>
      <c r="O37" s="1">
        <f t="shared" si="3"/>
        <v>-0.002498894580716754</v>
      </c>
      <c r="Q37" s="56">
        <f t="shared" si="4"/>
        <v>42019.1486</v>
      </c>
    </row>
    <row r="38" spans="1:17" ht="12.75">
      <c r="A38" s="48" t="s">
        <v>58</v>
      </c>
      <c r="B38" s="49" t="s">
        <v>43</v>
      </c>
      <c r="C38" s="50">
        <v>58074.0322</v>
      </c>
      <c r="D38" s="51" t="s">
        <v>59</v>
      </c>
      <c r="E38" s="1">
        <f t="shared" si="0"/>
        <v>14862.490984907477</v>
      </c>
      <c r="F38" s="1">
        <f t="shared" si="1"/>
        <v>14862.5</v>
      </c>
      <c r="G38" s="1">
        <f t="shared" si="2"/>
        <v>-0.003497306774079334</v>
      </c>
      <c r="K38" s="1">
        <f t="shared" si="5"/>
        <v>-0.003497306774079334</v>
      </c>
      <c r="O38" s="1">
        <f t="shared" si="3"/>
        <v>-0.0029816353207768164</v>
      </c>
      <c r="Q38" s="56">
        <f t="shared" si="4"/>
        <v>43055.5322</v>
      </c>
    </row>
    <row r="39" spans="1:17" ht="12.75">
      <c r="A39" s="53" t="s">
        <v>60</v>
      </c>
      <c r="B39" s="54" t="s">
        <v>45</v>
      </c>
      <c r="C39" s="55">
        <v>58104.48136000009</v>
      </c>
      <c r="D39" s="55">
        <v>0.0007</v>
      </c>
      <c r="E39" s="1">
        <f>+(C39-C$7)/C$8</f>
        <v>14940.980523424982</v>
      </c>
      <c r="F39" s="1">
        <f>ROUND(2*E39,0)/2</f>
        <v>14941</v>
      </c>
      <c r="G39" s="1">
        <f>+C39-(C$7+F39*C$8)</f>
        <v>-0.007555724754638504</v>
      </c>
      <c r="K39" s="1">
        <f>+G39</f>
        <v>-0.007555724754638504</v>
      </c>
      <c r="O39" s="1">
        <f>+C$11+C$12*$F39</f>
        <v>-0.0029958202910537078</v>
      </c>
      <c r="Q39" s="56">
        <f>+C39-15018.5</f>
        <v>43085.98136000009</v>
      </c>
    </row>
    <row r="40" spans="1:17" ht="12.75">
      <c r="A40" s="53" t="s">
        <v>60</v>
      </c>
      <c r="B40" s="54" t="s">
        <v>45</v>
      </c>
      <c r="C40" s="55">
        <v>58104.48217000021</v>
      </c>
      <c r="D40" s="55">
        <v>0.0005</v>
      </c>
      <c r="E40" s="1">
        <f>+(C40-C$7)/C$8</f>
        <v>14940.982611381929</v>
      </c>
      <c r="F40" s="1">
        <f>ROUND(2*E40,0)/2</f>
        <v>14941</v>
      </c>
      <c r="G40" s="1">
        <f>+C40-(C$7+F40*C$8)</f>
        <v>-0.0067457246404956095</v>
      </c>
      <c r="K40" s="1">
        <f>+G40</f>
        <v>-0.0067457246404956095</v>
      </c>
      <c r="O40" s="1">
        <f>+C$11+C$12*$F40</f>
        <v>-0.0029958202910537078</v>
      </c>
      <c r="Q40" s="56">
        <f>+C40-15018.5</f>
        <v>43085.98217000021</v>
      </c>
    </row>
    <row r="41" spans="1:17" ht="12.75">
      <c r="A41" s="53" t="s">
        <v>60</v>
      </c>
      <c r="B41" s="54" t="s">
        <v>45</v>
      </c>
      <c r="C41" s="55">
        <v>58104.48247000016</v>
      </c>
      <c r="D41" s="55">
        <v>0.0021</v>
      </c>
      <c r="E41" s="1">
        <f>+(C41-C$7)/C$8</f>
        <v>14940.983384699093</v>
      </c>
      <c r="F41" s="1">
        <f>ROUND(2*E41,0)/2</f>
        <v>14941</v>
      </c>
      <c r="G41" s="1">
        <f>+C41-(C$7+F41*C$8)</f>
        <v>-0.006445724684454035</v>
      </c>
      <c r="K41" s="1">
        <f>+G41</f>
        <v>-0.006445724684454035</v>
      </c>
      <c r="O41" s="1">
        <f>+C$11+C$12*$F41</f>
        <v>-0.0029958202910537078</v>
      </c>
      <c r="Q41" s="56">
        <f>+C41-15018.5</f>
        <v>43085.98247000016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2022-11-24T03:38:38Z</dcterms:modified>
  <cp:category/>
  <cp:version/>
  <cp:contentType/>
  <cp:contentStatus/>
</cp:coreProperties>
</file>