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<sst xmlns="http://schemas.openxmlformats.org/spreadsheetml/2006/main" count="69" uniqueCount="58">
  <si>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V1260 Tau / GSC 1865-2657</t>
  </si>
  <si>
    <t>System Type:</t>
  </si>
  <si>
    <t>EA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</si>
  <si>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</si>
  <si>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</si>
  <si>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</si>
  <si>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</si>
  <si>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</si>
  <si>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</si>
  <si>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IBVS 5630</t>
  </si>
  <si>
    <t>Period =</t>
  </si>
  <si>
    <t>Start of Lin fit (row)</t>
  </si>
  <si>
    <t>Primary</t>
  </si>
  <si>
    <t>Secondary</t>
  </si>
  <si>
    <t>LS Intercept =</t>
  </si>
  <si>
    <t>Add cycle</t>
  </si>
  <si>
    <t>LS Slope =</t>
  </si>
  <si>
    <t>JD today</t>
  </si>
  <si>
    <t>Start cell (x)</t>
  </si>
  <si>
    <t>Old Cycle</t>
  </si>
  <si>
    <t>Start cell (y)</t>
  </si>
  <si>
    <t>New Cycle</t>
  </si>
  <si>
    <t>New epoch =</t>
  </si>
  <si>
    <t>Next ToM</t>
  </si>
  <si>
    <t>New Period =</t>
  </si>
  <si>
    <t>Local time</t>
  </si>
  <si>
    <t># of data points =</t>
  </si>
  <si>
    <t>Prim. Ephem. =</t>
  </si>
  <si>
    <t>Sec. Ephem. =</t>
  </si>
  <si>
    <t>Source</t>
  </si>
  <si>
    <t>Typ</t>
  </si>
  <si>
    <t>ToM</t>
  </si>
  <si>
    <t>error</t>
  </si>
  <si>
    <t>n'</t>
  </si>
  <si>
    <t>n</t>
  </si>
  <si>
    <t>O-C</t>
  </si>
  <si>
    <t>Kreiner</t>
  </si>
  <si>
    <t>IBVS</t>
  </si>
  <si>
    <t>S3</t>
  </si>
  <si>
    <t>S4</t>
  </si>
  <si>
    <t>S5</t>
  </si>
  <si>
    <t>S6</t>
  </si>
  <si>
    <t>Misc</t>
  </si>
  <si>
    <t>Prim. Fit</t>
  </si>
  <si>
    <t>Sec. Fit</t>
  </si>
  <si>
    <t>Date</t>
  </si>
  <si>
    <t>na</t>
  </si>
  <si>
    <t>IBVS 5920</t>
  </si>
  <si>
    <t>I</t>
  </si>
  <si>
    <t>IBVS 6011</t>
  </si>
  <si>
    <t>IBVS 6029</t>
  </si>
  <si>
    <t>II</t>
  </si>
  <si>
    <t>IBVS 6042</t>
  </si>
  <si>
    <t>OEJV 0160</t>
  </si>
  <si>
    <t>IBVS 6152</t>
  </si>
  <si>
    <t>OEJV 0165</t>
  </si>
  <si>
    <t>OEJV 0210</t>
  </si>
  <si>
    <t>OEJV 0211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</si>
</sst>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8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V1260 Tau - Primary O-C Diagr.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75"/>
          <c:w val="0.907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A!$R$21:$R$31</c:f>
              <c:numCache/>
            </c:numRef>
          </c:yVal>
          <c:smooth val="0"/>
        </c:ser>
        <c:ser>
          <c:idx val="1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A!$O$21:$O$31</c:f>
              <c:numCache/>
            </c:numRef>
          </c:yVal>
          <c:smooth val="0"/>
        </c:ser>
        <c:axId val="28230746"/>
        <c:axId val="52750123"/>
      </c:scatterChart>
      <c:valAx>
        <c:axId val="282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0123"/>
        <c:crossesAt val="0"/>
        <c:crossBetween val="midCat"/>
        <c:dispUnits/>
      </c:valAx>
      <c:valAx>
        <c:axId val="527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4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425"/>
          <c:y val="0.926"/>
          <c:w val="0.22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V1260 Tau - Secondary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1875"/>
          <c:w val="0.906"/>
          <c:h val="0.657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A!$S$21:$S$31</c:f>
              <c:numCache/>
            </c:numRef>
          </c:yVal>
          <c:smooth val="0"/>
        </c:ser>
        <c:ser>
          <c:idx val="1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A!$P$21:$P$31</c:f>
              <c:numCache/>
            </c:numRef>
          </c:yVal>
          <c:smooth val="0"/>
        </c:ser>
        <c:axId val="4989060"/>
        <c:axId val="44901541"/>
      </c:scatterChart>
      <c:valAx>
        <c:axId val="49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1541"/>
        <c:crossesAt val="0"/>
        <c:crossBetween val="midCat"/>
        <c:dispUnits/>
      </c:valAx>
      <c:valAx>
        <c:axId val="449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6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9"/>
          <c:y val="0.92625"/>
          <c:w val="0.248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V1260 Tau - O-C Diagr.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225"/>
          <c:w val="0.90625"/>
          <c:h val="0.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A!$H$21:$H$31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A!$I$21:$I$31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A!$J$21:$J$31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A!$K$21:$K$31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A!$L$21:$L$31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A!$M$21:$M$31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A!$N$21:$N$31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A!$O$21:$O$31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A!$P$21:$P$31</c:f>
              <c:numCache/>
            </c:numRef>
          </c:yVal>
          <c:smooth val="0"/>
        </c:ser>
        <c:axId val="1460686"/>
        <c:axId val="13146175"/>
      </c:scatterChart>
      <c:valAx>
        <c:axId val="146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6175"/>
        <c:crossesAt val="0"/>
        <c:crossBetween val="midCat"/>
        <c:dispUnits/>
      </c:valAx>
      <c:valAx>
        <c:axId val="131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68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9285"/>
          <c:w val="0.796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005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26</xdr:col>
      <xdr:colOff>171450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0620375" y="0"/>
        <a:ext cx="6343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619125</xdr:colOff>
      <xdr:row>22</xdr:row>
      <xdr:rowOff>47625</xdr:rowOff>
    </xdr:from>
    <xdr:to>
      <xdr:col>28</xdr:col>
      <xdr:colOff>114300</xdr:colOff>
      <xdr:row>42</xdr:row>
      <xdr:rowOff>95250</xdr:rowOff>
    </xdr:to>
    <xdr:graphicFrame>
      <xdr:nvGraphicFramePr>
        <xdr:cNvPr id="3" name="Chart 3"/>
        <xdr:cNvGraphicFramePr/>
      </xdr:nvGraphicFramePr>
      <xdr:xfrm>
        <a:off x="11925300" y="3705225"/>
        <a:ext cx="63531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7109375" style="1" customWidth="1"/>
    <col min="6" max="6" width="16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1" t="s">
        <v>2</v>
      </c>
      <c r="C2" s="3"/>
      <c r="D2" s="3"/>
    </row>
    <row r="4" spans="1:4" ht="12.75">
      <c r="A4" s="4" t="s">
        <v>3</v>
      </c>
      <c r="C4" s="5" t="s">
        <v>4</v>
      </c>
      <c r="D4" s="6" t="s">
        <v>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4" ht="12.75">
      <c r="A7" s="1" t="s">
        <v>8</v>
      </c>
      <c r="C7" s="1">
        <v>52500.5105</v>
      </c>
      <c r="D7" s="9" t="s">
        <v>9</v>
      </c>
    </row>
    <row r="8" spans="1:4" ht="12.75">
      <c r="A8" s="1" t="s">
        <v>10</v>
      </c>
      <c r="C8" s="1">
        <v>5.43077</v>
      </c>
      <c r="D8" s="9" t="s">
        <v>9</v>
      </c>
    </row>
    <row r="9" spans="1:4" ht="12.75">
      <c r="A9" s="10" t="s">
        <v>11</v>
      </c>
      <c r="B9" s="10"/>
      <c r="C9" s="11">
        <v>21</v>
      </c>
      <c r="D9" s="11">
        <v>21</v>
      </c>
    </row>
    <row r="10" spans="1:4" ht="12.75">
      <c r="A10"/>
      <c r="B10"/>
      <c r="C10" s="12" t="s">
        <v>12</v>
      </c>
      <c r="D10" s="12" t="s">
        <v>13</v>
      </c>
    </row>
    <row r="11" spans="1:7" ht="12.75">
      <c r="A11" t="s">
        <v>14</v>
      </c>
      <c r="B11"/>
      <c r="C11" s="13">
        <f ca="1">INTERCEPT(INDIRECT(C14):R$935,INDIRECT(C13):$F$935)</f>
        <v>0.05219833572395846</v>
      </c>
      <c r="D11" s="13">
        <f ca="1">INTERCEPT(INDIRECT(D14):S$935,INDIRECT(D13):$F$935)</f>
        <v>0.32335000003331515</v>
      </c>
      <c r="E11" s="10" t="s">
        <v>15</v>
      </c>
      <c r="F11" s="1">
        <v>1</v>
      </c>
      <c r="G11" s="14" t="str">
        <f>"G"&amp;E19</f>
        <v>G2</v>
      </c>
    </row>
    <row r="12" spans="1:6" ht="12.75">
      <c r="A12" t="s">
        <v>16</v>
      </c>
      <c r="B12"/>
      <c r="C12" s="13">
        <f ca="1">SLOPE(INDIRECT(C14):R$935,INDIRECT(C13):$F$935)</f>
        <v>-6.212918739473906E-05</v>
      </c>
      <c r="D12" s="13">
        <f ca="1">SLOPE(INDIRECT(D14):S$935,INDIRECT(D13):$F$935)</f>
        <v>3.370370366071627E-05</v>
      </c>
      <c r="E12" s="10" t="s">
        <v>17</v>
      </c>
      <c r="F12" s="13">
        <f ca="1">NOW()+15018.5+$C$5/24</f>
        <v>59907.69519270833</v>
      </c>
    </row>
    <row r="13" spans="1:6" ht="12.75">
      <c r="A13" s="10" t="s">
        <v>18</v>
      </c>
      <c r="B13" s="10"/>
      <c r="C13" s="11" t="str">
        <f>"F"&amp;C9</f>
        <v>F21</v>
      </c>
      <c r="D13" s="11" t="str">
        <f>"F"&amp;D9</f>
        <v>F21</v>
      </c>
      <c r="E13" s="10" t="s">
        <v>19</v>
      </c>
      <c r="F13" s="13">
        <f>ROUND(2*(F12-$C$7)/$C$8,0)/2+F11</f>
        <v>1365</v>
      </c>
    </row>
    <row r="14" spans="1:6" ht="12.75">
      <c r="A14" s="10" t="s">
        <v>20</v>
      </c>
      <c r="B14" s="10"/>
      <c r="C14" s="11" t="str">
        <f>"R"&amp;C9</f>
        <v>R21</v>
      </c>
      <c r="D14" s="11" t="str">
        <f>"S"&amp;D9</f>
        <v>S21</v>
      </c>
      <c r="E14" s="10" t="s">
        <v>21</v>
      </c>
      <c r="F14" s="14">
        <f>ROUND(2*(F12-$C$15)/$C$16,0)/2+F11</f>
        <v>136</v>
      </c>
    </row>
    <row r="15" spans="1:6" ht="12.75">
      <c r="A15" s="15" t="s">
        <v>22</v>
      </c>
      <c r="B15"/>
      <c r="C15" s="16">
        <f>($C7+C11)+($C8+C12)*INT(MAX($F21:$F3533))</f>
        <v>59174.902671564414</v>
      </c>
      <c r="D15" s="16">
        <f>($C7+D11)+($C8+D12)*INT(MAX($F21:$F3533))</f>
        <v>59175.29160185183</v>
      </c>
      <c r="E15" s="10" t="s">
        <v>23</v>
      </c>
      <c r="F15" s="17">
        <f>+$C$15+$C$16*F14-15018.5-$C$5/24</f>
        <v>44895.374775328266</v>
      </c>
    </row>
    <row r="16" spans="1:6" ht="12.75">
      <c r="A16" s="15" t="s">
        <v>24</v>
      </c>
      <c r="B16"/>
      <c r="C16" s="16">
        <f>+$C8+C12</f>
        <v>5.430707870812605</v>
      </c>
      <c r="D16" s="13">
        <f>+$C8+D12</f>
        <v>5.430803703703661</v>
      </c>
      <c r="E16" s="18"/>
      <c r="F16" s="18" t="s">
        <v>25</v>
      </c>
    </row>
    <row r="17" spans="1:3" ht="12.75">
      <c r="A17" s="19" t="s">
        <v>26</v>
      </c>
      <c r="C17" s="1">
        <f>COUNT(C21:C1247)</f>
        <v>11</v>
      </c>
    </row>
    <row r="18" spans="1:5" ht="12.75">
      <c r="A18" s="4" t="s">
        <v>27</v>
      </c>
      <c r="C18" s="20">
        <f>+C15</f>
        <v>59174.902671564414</v>
      </c>
      <c r="D18" s="21">
        <f>+C16</f>
        <v>5.430707870812605</v>
      </c>
      <c r="E18" s="22">
        <f>R19</f>
        <v>8</v>
      </c>
    </row>
    <row r="19" spans="1:19" ht="12.75">
      <c r="A19" s="4" t="s">
        <v>28</v>
      </c>
      <c r="C19" s="20">
        <f>+D15</f>
        <v>59175.29160185183</v>
      </c>
      <c r="D19" s="21">
        <f>+D16</f>
        <v>5.430803703703661</v>
      </c>
      <c r="E19" s="22">
        <f>S19</f>
        <v>2</v>
      </c>
      <c r="R19" s="3">
        <f>COUNT(R21:R51)</f>
        <v>8</v>
      </c>
      <c r="S19" s="3">
        <f>COUNT(S21:S51)</f>
        <v>2</v>
      </c>
    </row>
    <row r="20" spans="1:19" ht="12.75">
      <c r="A20" s="12" t="s">
        <v>29</v>
      </c>
      <c r="B20" s="12" t="s">
        <v>30</v>
      </c>
      <c r="C20" s="12" t="s">
        <v>31</v>
      </c>
      <c r="D20" s="12" t="s">
        <v>32</v>
      </c>
      <c r="E20" s="12" t="s">
        <v>33</v>
      </c>
      <c r="F20" s="12" t="s">
        <v>34</v>
      </c>
      <c r="G20" s="12" t="s">
        <v>35</v>
      </c>
      <c r="H20" s="23" t="s">
        <v>36</v>
      </c>
      <c r="I20" s="23" t="s">
        <v>37</v>
      </c>
      <c r="J20" s="23" t="s">
        <v>38</v>
      </c>
      <c r="K20" s="23" t="s">
        <v>39</v>
      </c>
      <c r="L20" s="23" t="s">
        <v>40</v>
      </c>
      <c r="M20" s="23" t="s">
        <v>41</v>
      </c>
      <c r="N20" s="23" t="s">
        <v>42</v>
      </c>
      <c r="O20" s="23" t="s">
        <v>43</v>
      </c>
      <c r="P20" s="23" t="s">
        <v>44</v>
      </c>
      <c r="Q20" s="12" t="s">
        <v>45</v>
      </c>
      <c r="R20" s="24" t="s">
        <v>12</v>
      </c>
      <c r="S20" s="24" t="s">
        <v>13</v>
      </c>
    </row>
    <row r="21" spans="1:18" ht="12.75">
      <c r="A21" s="25" t="s">
        <v>36</v>
      </c>
      <c r="C21" s="26">
        <v>52500.5105</v>
      </c>
      <c r="D21" s="26" t="s">
        <v>46</v>
      </c>
      <c r="E21" s="1">
        <f aca="true" t="shared" si="0" ref="E21:E26">+(C21-C$7)/C$8</f>
        <v>0</v>
      </c>
      <c r="F21" s="1">
        <f aca="true" t="shared" si="1" ref="F21:F29">ROUND(2*E21,0)/2</f>
        <v>0</v>
      </c>
      <c r="G21" s="1">
        <f>+C21-(C$7+F21*C$8)</f>
        <v>0</v>
      </c>
      <c r="H21" s="1">
        <f>+G21</f>
        <v>0</v>
      </c>
      <c r="O21" s="1">
        <f aca="true" t="shared" si="2" ref="O21:P26">+C$11+C$12*$F21</f>
        <v>0.05219833572395846</v>
      </c>
      <c r="P21" s="1">
        <f t="shared" si="2"/>
        <v>0.32335000003331515</v>
      </c>
      <c r="Q21" s="44">
        <f aca="true" t="shared" si="3" ref="Q21:Q26">+C21-15018.5</f>
        <v>37482.0105</v>
      </c>
      <c r="R21" s="1">
        <f>G21</f>
        <v>0</v>
      </c>
    </row>
    <row r="22" spans="1:18" ht="12.75">
      <c r="A22" s="27" t="s">
        <v>9</v>
      </c>
      <c r="B22" s="28"/>
      <c r="C22" s="29">
        <v>53347.724</v>
      </c>
      <c r="D22" s="30"/>
      <c r="E22" s="1">
        <f t="shared" si="0"/>
        <v>156.00246373902877</v>
      </c>
      <c r="F22" s="1">
        <f t="shared" si="1"/>
        <v>156</v>
      </c>
      <c r="G22" s="1">
        <f>+C22-(C$7+F22*C$8)</f>
        <v>0.013380000003962778</v>
      </c>
      <c r="I22" s="1">
        <f>+G22</f>
        <v>0.013380000003962778</v>
      </c>
      <c r="O22" s="1">
        <f t="shared" si="2"/>
        <v>0.04250618249037917</v>
      </c>
      <c r="P22" s="1">
        <f t="shared" si="2"/>
        <v>0.3286077778043869</v>
      </c>
      <c r="Q22" s="44">
        <f t="shared" si="3"/>
        <v>38329.224</v>
      </c>
      <c r="R22" s="1">
        <f>G22</f>
        <v>0.013380000003962778</v>
      </c>
    </row>
    <row r="23" spans="1:18" ht="12.75">
      <c r="A23" s="31" t="s">
        <v>47</v>
      </c>
      <c r="B23" s="32" t="s">
        <v>48</v>
      </c>
      <c r="C23" s="29">
        <v>55139.905</v>
      </c>
      <c r="D23" s="29">
        <v>0.0003</v>
      </c>
      <c r="E23" s="1">
        <f t="shared" si="0"/>
        <v>486.007416996117</v>
      </c>
      <c r="F23" s="1">
        <f t="shared" si="1"/>
        <v>486</v>
      </c>
      <c r="G23" s="1">
        <f>+C23-(C$7+F23*C$8)</f>
        <v>0.04028000000107568</v>
      </c>
      <c r="I23" s="1">
        <f>+G23</f>
        <v>0.04028000000107568</v>
      </c>
      <c r="O23" s="1">
        <f t="shared" si="2"/>
        <v>0.022003550650115278</v>
      </c>
      <c r="P23" s="1">
        <f t="shared" si="2"/>
        <v>0.33973000001242326</v>
      </c>
      <c r="Q23" s="44">
        <f t="shared" si="3"/>
        <v>40121.405</v>
      </c>
      <c r="R23" s="1">
        <f>G23</f>
        <v>0.04028000000107568</v>
      </c>
    </row>
    <row r="24" spans="1:17" ht="12.75">
      <c r="A24" s="29" t="s">
        <v>49</v>
      </c>
      <c r="B24" s="32" t="s">
        <v>48</v>
      </c>
      <c r="C24" s="29">
        <v>55883.9247</v>
      </c>
      <c r="D24" s="29">
        <v>0.0002</v>
      </c>
      <c r="E24" s="1">
        <f t="shared" si="0"/>
        <v>623.0081922084726</v>
      </c>
      <c r="F24" s="1">
        <f t="shared" si="1"/>
        <v>623</v>
      </c>
      <c r="I24" s="33">
        <v>0.044490000007499475</v>
      </c>
      <c r="O24" s="1">
        <f t="shared" si="2"/>
        <v>0.013491851977036028</v>
      </c>
      <c r="P24" s="1">
        <f t="shared" si="2"/>
        <v>0.3443474074139414</v>
      </c>
      <c r="Q24" s="44">
        <f t="shared" si="3"/>
        <v>40865.4247</v>
      </c>
    </row>
    <row r="25" spans="1:19" ht="12.75">
      <c r="A25" s="30" t="s">
        <v>50</v>
      </c>
      <c r="B25" s="34" t="s">
        <v>51</v>
      </c>
      <c r="C25" s="30">
        <v>55946.6788</v>
      </c>
      <c r="D25" s="30">
        <v>0.0003</v>
      </c>
      <c r="E25" s="1">
        <f t="shared" si="0"/>
        <v>634.5634781071569</v>
      </c>
      <c r="F25" s="1">
        <f t="shared" si="1"/>
        <v>634.5</v>
      </c>
      <c r="G25" s="1">
        <f aca="true" t="shared" si="4" ref="G25:G31">+C25-(C$7+F25*C$8)</f>
        <v>0.3447350000060396</v>
      </c>
      <c r="I25" s="1">
        <f aca="true" t="shared" si="5" ref="I25:I31">+G25</f>
        <v>0.3447350000060396</v>
      </c>
      <c r="O25" s="1">
        <f t="shared" si="2"/>
        <v>0.012777366321996525</v>
      </c>
      <c r="P25" s="1">
        <f t="shared" si="2"/>
        <v>0.3447350000060396</v>
      </c>
      <c r="Q25" s="44">
        <f t="shared" si="3"/>
        <v>40928.1788</v>
      </c>
      <c r="S25" s="1">
        <f>G25</f>
        <v>0.3447350000060396</v>
      </c>
    </row>
    <row r="26" spans="1:19" ht="12.75">
      <c r="A26" s="27" t="s">
        <v>52</v>
      </c>
      <c r="B26" s="34" t="s">
        <v>51</v>
      </c>
      <c r="C26" s="30">
        <v>56239.9422</v>
      </c>
      <c r="D26" s="30">
        <v>0.0009000000000000001</v>
      </c>
      <c r="E26" s="1">
        <f t="shared" si="0"/>
        <v>688.5638132345875</v>
      </c>
      <c r="F26" s="1">
        <f t="shared" si="1"/>
        <v>688.5</v>
      </c>
      <c r="G26" s="1">
        <f t="shared" si="4"/>
        <v>0.3465550000037183</v>
      </c>
      <c r="I26" s="1">
        <f t="shared" si="5"/>
        <v>0.3465550000037183</v>
      </c>
      <c r="O26" s="1">
        <f t="shared" si="2"/>
        <v>0.009422390202680618</v>
      </c>
      <c r="P26" s="1">
        <f t="shared" si="2"/>
        <v>0.3465550000037183</v>
      </c>
      <c r="Q26" s="44">
        <f t="shared" si="3"/>
        <v>41221.4422</v>
      </c>
      <c r="S26" s="1">
        <f>G26</f>
        <v>0.3465550000037183</v>
      </c>
    </row>
    <row r="27" spans="1:18" ht="12.75">
      <c r="A27" s="35" t="s">
        <v>53</v>
      </c>
      <c r="B27" s="36" t="s">
        <v>48</v>
      </c>
      <c r="C27" s="37">
        <v>56269.51171</v>
      </c>
      <c r="D27" s="37">
        <v>0.0001</v>
      </c>
      <c r="E27" s="1">
        <f>+(C27-C$7)/C$8</f>
        <v>694.0086230865977</v>
      </c>
      <c r="F27" s="1">
        <f t="shared" si="1"/>
        <v>694</v>
      </c>
      <c r="G27" s="1">
        <f t="shared" si="4"/>
        <v>0.046829999999317806</v>
      </c>
      <c r="I27" s="1">
        <f t="shared" si="5"/>
        <v>0.046829999999317806</v>
      </c>
      <c r="O27" s="1">
        <f aca="true" t="shared" si="6" ref="O27:P29">+C$11+C$12*$F27</f>
        <v>0.009080679672009553</v>
      </c>
      <c r="P27" s="1">
        <f t="shared" si="6"/>
        <v>0.34674037037385225</v>
      </c>
      <c r="Q27" s="44">
        <f>+C27-15018.5</f>
        <v>41251.01171</v>
      </c>
      <c r="R27" s="1">
        <f>G27</f>
        <v>0.046829999999317806</v>
      </c>
    </row>
    <row r="28" spans="1:18" ht="12.75">
      <c r="A28" s="38" t="s">
        <v>54</v>
      </c>
      <c r="B28" s="39"/>
      <c r="C28" s="38">
        <v>56964.6589</v>
      </c>
      <c r="D28" s="38">
        <v>0.0037</v>
      </c>
      <c r="E28" s="1">
        <f>+(C28-C$7)/C$8</f>
        <v>822.0102121798577</v>
      </c>
      <c r="F28" s="1">
        <f t="shared" si="1"/>
        <v>822</v>
      </c>
      <c r="G28" s="1">
        <f t="shared" si="4"/>
        <v>0.055460000003222376</v>
      </c>
      <c r="I28" s="1">
        <f t="shared" si="5"/>
        <v>0.055460000003222376</v>
      </c>
      <c r="O28" s="1">
        <f t="shared" si="6"/>
        <v>0.0011281436854829532</v>
      </c>
      <c r="P28" s="1">
        <f t="shared" si="6"/>
        <v>0.35105444444242395</v>
      </c>
      <c r="Q28" s="44">
        <f>+C28-15018.5</f>
        <v>41946.1589</v>
      </c>
      <c r="R28" s="1">
        <f>G28</f>
        <v>0.055460000003222376</v>
      </c>
    </row>
    <row r="29" spans="1:18" ht="12.75">
      <c r="A29" s="40" t="s">
        <v>55</v>
      </c>
      <c r="B29" s="39"/>
      <c r="C29" s="40">
        <v>56269.51252</v>
      </c>
      <c r="D29" s="40">
        <v>0.00013</v>
      </c>
      <c r="E29" s="1">
        <f>+(C29-C$7)/C$8</f>
        <v>694.0087722367178</v>
      </c>
      <c r="F29" s="1">
        <f t="shared" si="1"/>
        <v>694</v>
      </c>
      <c r="G29" s="1">
        <f t="shared" si="4"/>
        <v>0.04763999999704538</v>
      </c>
      <c r="I29" s="1">
        <f t="shared" si="5"/>
        <v>0.04763999999704538</v>
      </c>
      <c r="O29" s="1">
        <f t="shared" si="6"/>
        <v>0.009080679672009553</v>
      </c>
      <c r="P29" s="1">
        <f t="shared" si="6"/>
        <v>0.34674037037385225</v>
      </c>
      <c r="Q29" s="44">
        <f>+C29-15018.5</f>
        <v>41251.01252</v>
      </c>
      <c r="R29" s="1">
        <f>G29</f>
        <v>0.04763999999704538</v>
      </c>
    </row>
    <row r="30" spans="1:18" ht="12.75">
      <c r="A30" s="41" t="s">
        <v>56</v>
      </c>
      <c r="B30" s="42" t="s">
        <v>51</v>
      </c>
      <c r="C30" s="43">
        <v>59177.47969100019</v>
      </c>
      <c r="D30" s="43">
        <v>0.000554</v>
      </c>
      <c r="E30" s="1">
        <f>+(C30-C$7)/C$8</f>
        <v>1229.4700734886937</v>
      </c>
      <c r="F30" s="1">
        <f>ROUND(2*E30,0)/2</f>
        <v>1229.5</v>
      </c>
      <c r="G30" s="1">
        <f t="shared" si="4"/>
        <v>-0.1625239998102188</v>
      </c>
      <c r="I30" s="1">
        <f t="shared" si="5"/>
        <v>-0.1625239998102188</v>
      </c>
      <c r="O30" s="1">
        <f>+C$11+C$12*$F30</f>
        <v>-0.02418950017787322</v>
      </c>
      <c r="P30" s="1">
        <f>+D$11+D$12*$F30</f>
        <v>0.3647887036841658</v>
      </c>
      <c r="Q30" s="44">
        <f>+C30-15018.5</f>
        <v>44158.97969100019</v>
      </c>
      <c r="R30" s="1">
        <f>G30</f>
        <v>-0.1625239998102188</v>
      </c>
    </row>
    <row r="31" spans="1:18" ht="12.75">
      <c r="A31" s="41" t="s">
        <v>57</v>
      </c>
      <c r="B31" s="42" t="s">
        <v>48</v>
      </c>
      <c r="C31" s="43">
        <v>57730.40511999978</v>
      </c>
      <c r="D31" s="43">
        <v>0.0003</v>
      </c>
      <c r="E31" s="1">
        <f>+(C31-C$7)/C$8</f>
        <v>963.0116208198434</v>
      </c>
      <c r="F31" s="1">
        <f>ROUND(2*E31,0)/2</f>
        <v>963</v>
      </c>
      <c r="G31" s="1">
        <f t="shared" si="4"/>
        <v>0.06310999978450127</v>
      </c>
      <c r="I31" s="1">
        <f t="shared" si="5"/>
        <v>0.06310999978450127</v>
      </c>
      <c r="O31" s="1">
        <f>+C$11+C$12*$F31</f>
        <v>-0.0076320717371752556</v>
      </c>
      <c r="P31" s="1">
        <f>+D$11+D$12*$F31</f>
        <v>0.3558066666585849</v>
      </c>
      <c r="Q31" s="44">
        <f>+C31-15018.5</f>
        <v>42711.90511999978</v>
      </c>
      <c r="R31" s="1">
        <f>G31</f>
        <v>0.06310999978450127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2022-11-24T03:41:04Z</dcterms:modified>
  <cp:category/>
  <cp:version/>
  <cp:contentType/>
  <cp:contentStatus/>
</cp:coreProperties>
</file>