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<sst xmlns="http://schemas.openxmlformats.org/spreadsheetml/2006/main" count="160" uniqueCount="108">
  <si>
    <t>AL Tri / GSC 2293-1021</t>
  </si>
  <si>
    <t>System Type:</t>
  </si>
  <si>
    <t>EW</t>
  </si>
  <si>
    <t>GCVS 4 Eph.</t>
  </si>
  <si>
    <t>not avail.</t>
  </si>
  <si>
    <t>--- Working ----</t>
  </si>
  <si>
    <t>Epoch =</t>
  </si>
  <si>
    <t>Period =</t>
  </si>
  <si>
    <t>VSX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</si>
  <si>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</si>
  <si>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</si>
  <si>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</si>
  <si>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</si>
  <si>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</si>
  <si>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</si>
  <si>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</si>
  <si>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</si>
  <si>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</si>
  <si>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</si>
  <si>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</si>
  <si>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</si>
  <si>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</si>
  <si>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</si>
  <si>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</si>
  <si>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</si>
  <si>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</si>
  <si>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</si>
  <si>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</si>
  <si>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</si>
  <si>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</si>
  <si>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</si>
  <si>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</si>
  <si>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</si>
  <si>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</si>
  <si>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</si>
  <si>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OEJV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</si>
  <si>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</si>
  <si>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</si>
  <si>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</si>
  <si>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</si>
  <si>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</si>
  <si>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</si>
  <si>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</si>
  <si>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</si>
  <si>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</si>
  <si>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</si>
  <si>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5657</t>
  </si>
  <si>
    <t>I</t>
  </si>
  <si>
    <t>OEJV 0137</t>
  </si>
  <si>
    <t>IBVS 5984</t>
  </si>
  <si>
    <t>OEJV 0211</t>
  </si>
  <si>
    <t>II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</si>
  <si>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</si>
  <si>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</si>
  <si>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</si>
  <si>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</si>
  <si>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</si>
  <si>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</si>
  <si>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</si>
  <si>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</si>
  <si>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</si>
  <si>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</si>
  <si>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</si>
  <si>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2453300.3667 </t>
  </si>
  <si>
    <t> 21.10.2004 20:48 </t>
  </si>
  <si>
    <t> 0.0000 </t>
  </si>
  <si>
    <t>E </t>
  </si>
  <si>
    <t>-I</t>
  </si>
  <si>
    <t> K. &amp; M. Rätz </t>
  </si>
  <si>
    <t>BAVM 173 </t>
  </si>
  <si>
    <t>2455062.5611 </t>
  </si>
  <si>
    <t> 19.08.2009 01:27 </t>
  </si>
  <si>
    <t>1762</t>
  </si>
  <si>
    <t> 0.1944 </t>
  </si>
  <si>
    <t>C </t>
  </si>
  <si>
    <t> J.Trnka </t>
  </si>
  <si>
    <t>OEJV 0137 </t>
  </si>
  <si>
    <t>2455461.5281 </t>
  </si>
  <si>
    <t> 22.09.2010 00:40 </t>
  </si>
  <si>
    <t>2161</t>
  </si>
  <si>
    <t> 0.1614 </t>
  </si>
  <si>
    <t> F.Agerer </t>
  </si>
  <si>
    <t>BAVM 215 </t>
  </si>
  <si>
    <t>2455514.4447 </t>
  </si>
  <si>
    <t> 13.11.2010 22:40 </t>
  </si>
  <si>
    <t>2214</t>
  </si>
  <si>
    <t> 0.0780 </t>
  </si>
  <si>
    <t>R</t>
  </si>
  <si>
    <t> F.Lomoz </t>
  </si>
  <si>
    <t>2455102.4151 </t>
  </si>
  <si>
    <t> 27.09.2009 21:57 </t>
  </si>
  <si>
    <t>1802</t>
  </si>
  <si>
    <t> 0.0484 </t>
  </si>
  <si>
    <t>2455102.4158 </t>
  </si>
  <si>
    <t> 27.09.2009 21:58 </t>
  </si>
  <si>
    <t> 0.0491 </t>
  </si>
  <si>
    <t>2455102.4165 </t>
  </si>
  <si>
    <t> 27.09.2009 21:59 </t>
  </si>
  <si>
    <t> 0.0498 </t>
  </si>
  <si>
    <t>B</t>
  </si>
  <si>
    <t>2455135.4721 </t>
  </si>
  <si>
    <t> 30.10.2009 23:19 </t>
  </si>
  <si>
    <t>1835</t>
  </si>
  <si>
    <t> 0.1054 </t>
  </si>
  <si>
    <t>2455155.3376 </t>
  </si>
  <si>
    <t> 19.11.2009 20:06 </t>
  </si>
  <si>
    <t>1855</t>
  </si>
  <si>
    <t> -0.0291 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</si>
</sst>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[$-C09]dddd\,\ d\ mmmm\ yyyy"/>
    <numFmt numFmtId="168" formatCode="d/mm/yyyy;@"/>
  </numFmts>
  <fonts count="49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7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10" fillId="0" borderId="0" xfId="60" applyFont="1">
      <alignment/>
      <protection/>
    </xf>
    <xf numFmtId="0" fontId="10" fillId="0" borderId="0" xfId="60" applyFont="1" applyAlignment="1">
      <alignment horizontal="center"/>
      <protection/>
    </xf>
    <xf numFmtId="0" fontId="10" fillId="0" borderId="0" xfId="60" applyFont="1" applyAlignment="1">
      <alignment horizontal="left"/>
      <protection/>
    </xf>
    <xf numFmtId="0" fontId="11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13" fillId="0" borderId="0" xfId="56" applyNumberFormat="1" applyFont="1" applyFill="1" applyBorder="1" applyAlignment="1" applyProtection="1">
      <alignment horizontal="left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vertical="top"/>
    </xf>
    <xf numFmtId="0" fontId="9" fillId="33" borderId="19" xfId="0" applyFont="1" applyFill="1" applyBorder="1" applyAlignment="1">
      <alignment horizontal="left" vertical="top" wrapText="1" inden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right" vertical="top" wrapText="1"/>
    </xf>
    <xf numFmtId="0" fontId="13" fillId="33" borderId="19" xfId="56" applyNumberFormat="1" applyFont="1" applyFill="1" applyBorder="1" applyAlignment="1" applyProtection="1">
      <alignment horizontal="right" vertical="top" wrapText="1"/>
      <protection/>
    </xf>
    <xf numFmtId="168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Tri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A!$H$21:$H$31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A!$I$21:$I$31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A!$J$21:$J$31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A!$K$21:$K$31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A!$L$21:$L$31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A!$M$21:$M$31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A!$N$21:$N$31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A!$F$21:$F$31</c:f>
              <c:numCache/>
            </c:numRef>
          </c:xVal>
          <c:yVal>
            <c:numRef>
              <c:f>A!$O$21:$O$31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A!$F$21:$F$31</c:f>
              <c:numCache/>
            </c:numRef>
          </c:xVal>
          <c:yVal>
            <c:numRef>
              <c:f>A!$R$21:$R$31</c:f>
              <c:numCache/>
            </c:numRef>
          </c:yVal>
          <c:smooth val="0"/>
        </c:ser>
        <c:axId val="50557105"/>
        <c:axId val="52360762"/>
      </c:scatterChart>
      <c:valAx>
        <c:axId val="5055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0762"/>
        <c:crossesAt val="0"/>
        <c:crossBetween val="midCat"/>
        <c:dispUnits/>
      </c:val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57105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775"/>
          <c:y val="0.926"/>
          <c:w val="0.74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73" TargetMode="External" /><Relationship Id="rId2" Type="http://schemas.openxmlformats.org/officeDocument/2006/relationships/hyperlink" Target="http://var.astro.cz/oejv/issues/oejv0137.pdf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var.astro.cz/oejv/issues/oejv0137.pdf" TargetMode="External" /><Relationship Id="rId5" Type="http://schemas.openxmlformats.org/officeDocument/2006/relationships/hyperlink" Target="http://var.astro.cz/oejv/issues/oejv0137.pdf" TargetMode="External" /><Relationship Id="rId6" Type="http://schemas.openxmlformats.org/officeDocument/2006/relationships/hyperlink" Target="http://var.astro.cz/oejv/issues/oejv0137.pdf" TargetMode="External" /><Relationship Id="rId7" Type="http://schemas.openxmlformats.org/officeDocument/2006/relationships/hyperlink" Target="http://var.astro.cz/oejv/issues/oejv0137.pdf" TargetMode="External" /><Relationship Id="rId8" Type="http://schemas.openxmlformats.org/officeDocument/2006/relationships/hyperlink" Target="http://var.astro.cz/oejv/issues/oejv0137.pdf" TargetMode="External" /><Relationship Id="rId9" Type="http://schemas.openxmlformats.org/officeDocument/2006/relationships/hyperlink" Target="http://var.astro.cz/oejv/issues/oejv013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1" t="s">
        <v>2</v>
      </c>
      <c r="C2" s="3"/>
      <c r="D2" s="3"/>
    </row>
    <row r="4" spans="1:4" ht="12.75">
      <c r="A4" s="4" t="s">
        <v>3</v>
      </c>
      <c r="C4" s="5" t="s">
        <v>4</v>
      </c>
      <c r="D4" s="6" t="s">
        <v>4</v>
      </c>
    </row>
    <row r="6" ht="12.75">
      <c r="A6" s="4" t="s">
        <v>5</v>
      </c>
    </row>
    <row r="7" spans="1:4" ht="12.75">
      <c r="A7" s="1" t="s">
        <v>6</v>
      </c>
      <c r="C7" s="7">
        <v>53300.3667</v>
      </c>
      <c r="D7" s="8"/>
    </row>
    <row r="8" spans="1:4" ht="12.75">
      <c r="A8" s="1" t="s">
        <v>7</v>
      </c>
      <c r="C8" s="9">
        <v>0.268565</v>
      </c>
      <c r="D8" s="8" t="s">
        <v>8</v>
      </c>
    </row>
    <row r="9" spans="1:5" ht="12.75">
      <c r="A9" s="10" t="s">
        <v>9</v>
      </c>
      <c r="B9"/>
      <c r="C9" s="11">
        <v>-9.5</v>
      </c>
      <c r="D9" t="s">
        <v>10</v>
      </c>
      <c r="E9"/>
    </row>
    <row r="10" spans="1:5" ht="12.75">
      <c r="A10"/>
      <c r="B10"/>
      <c r="C10" s="12" t="s">
        <v>11</v>
      </c>
      <c r="D10" s="12" t="s">
        <v>12</v>
      </c>
      <c r="E10"/>
    </row>
    <row r="11" spans="1:7" ht="12.75">
      <c r="A11" t="s">
        <v>13</v>
      </c>
      <c r="B11"/>
      <c r="C11" s="13">
        <f ca="1">INTERCEPT(INDIRECT($G$11):G991,INDIRECT($F$11):F991)</f>
        <v>0.26909503512874033</v>
      </c>
      <c r="D11" s="3"/>
      <c r="E11"/>
      <c r="F11" s="14" t="str">
        <f>"F"&amp;E19</f>
        <v>F22</v>
      </c>
      <c r="G11" s="15" t="str">
        <f>"G"&amp;E19</f>
        <v>G22</v>
      </c>
    </row>
    <row r="12" spans="1:5" ht="12.75">
      <c r="A12" t="s">
        <v>14</v>
      </c>
      <c r="B12"/>
      <c r="C12" s="13">
        <f ca="1">SLOPE(INDIRECT($G$11):G991,INDIRECT($F$11):F991)</f>
        <v>-5.645496817556913E-07</v>
      </c>
      <c r="D12" s="3"/>
      <c r="E12"/>
    </row>
    <row r="13" spans="1:5" ht="12.75">
      <c r="A13" t="s">
        <v>15</v>
      </c>
      <c r="B13"/>
      <c r="C13" s="3" t="s">
        <v>16</v>
      </c>
      <c r="D13" s="16" t="s">
        <v>17</v>
      </c>
      <c r="E13" s="11">
        <v>1</v>
      </c>
    </row>
    <row r="14" spans="1:5" ht="12.75">
      <c r="A14"/>
      <c r="B14"/>
      <c r="C14"/>
      <c r="D14" s="16" t="s">
        <v>18</v>
      </c>
      <c r="E14" s="13">
        <f ca="1">NOW()+15018.5+$C$9/24</f>
        <v>59907.71211886574</v>
      </c>
    </row>
    <row r="15" spans="1:5" ht="12.75">
      <c r="A15" s="17" t="s">
        <v>19</v>
      </c>
      <c r="B15"/>
      <c r="C15" s="18">
        <f>(C7+C11)+(C8+C12)*INT(MAX(F21:F3532))</f>
        <v>58065.50600879468</v>
      </c>
      <c r="D15" s="16" t="s">
        <v>20</v>
      </c>
      <c r="E15" s="13">
        <f>ROUND(2*(E14-$C$7)/$C$8,0)/2+E13</f>
        <v>24603.5</v>
      </c>
    </row>
    <row r="16" spans="1:5" ht="12.75">
      <c r="A16" s="17" t="s">
        <v>21</v>
      </c>
      <c r="B16"/>
      <c r="C16" s="18">
        <f>+C8+C12</f>
        <v>0.2685644354503182</v>
      </c>
      <c r="D16" s="16" t="s">
        <v>22</v>
      </c>
      <c r="E16" s="15">
        <f>ROUND(2*(E14-$C$15)/$C$16,0)/2+E13</f>
        <v>6860.5</v>
      </c>
    </row>
    <row r="17" spans="1:5" ht="12.75">
      <c r="A17" s="16" t="s">
        <v>23</v>
      </c>
      <c r="B17"/>
      <c r="C17">
        <f>COUNT(C21:C2190)</f>
        <v>11</v>
      </c>
      <c r="D17" s="16" t="s">
        <v>24</v>
      </c>
      <c r="E17" s="19">
        <f>+$C$15+$C$16*E16-15018.5-$C$9/24</f>
        <v>44889.88815153492</v>
      </c>
    </row>
    <row r="18" spans="1:5" ht="12.75">
      <c r="A18" s="17" t="s">
        <v>25</v>
      </c>
      <c r="B18"/>
      <c r="C18" s="20">
        <f>+C15</f>
        <v>58065.50600879468</v>
      </c>
      <c r="D18" s="21">
        <f>+C16</f>
        <v>0.2685644354503182</v>
      </c>
      <c r="E18" s="22" t="s">
        <v>26</v>
      </c>
    </row>
    <row r="19" spans="1:5" ht="12.75">
      <c r="A19" s="23" t="s">
        <v>27</v>
      </c>
      <c r="E19" s="24">
        <v>22</v>
      </c>
    </row>
    <row r="20" spans="1:18" ht="12.75">
      <c r="A20" s="12" t="s">
        <v>28</v>
      </c>
      <c r="B20" s="12" t="s">
        <v>29</v>
      </c>
      <c r="C20" s="12" t="s">
        <v>30</v>
      </c>
      <c r="D20" s="12" t="s">
        <v>31</v>
      </c>
      <c r="E20" s="12" t="s">
        <v>32</v>
      </c>
      <c r="F20" s="12" t="s">
        <v>33</v>
      </c>
      <c r="G20" s="12" t="s">
        <v>34</v>
      </c>
      <c r="H20" s="25" t="s">
        <v>35</v>
      </c>
      <c r="I20" s="25" t="s">
        <v>36</v>
      </c>
      <c r="J20" s="25" t="s">
        <v>37</v>
      </c>
      <c r="K20" s="25" t="s">
        <v>38</v>
      </c>
      <c r="L20" s="25" t="s">
        <v>39</v>
      </c>
      <c r="M20" s="25" t="s">
        <v>40</v>
      </c>
      <c r="N20" s="25" t="s">
        <v>41</v>
      </c>
      <c r="O20" s="25" t="s">
        <v>42</v>
      </c>
      <c r="P20" s="25" t="s">
        <v>43</v>
      </c>
      <c r="Q20" s="12" t="s">
        <v>44</v>
      </c>
      <c r="R20" s="26" t="s">
        <v>45</v>
      </c>
    </row>
    <row r="21" spans="1:17" ht="12.75">
      <c r="A21" s="27" t="s">
        <v>46</v>
      </c>
      <c r="B21" s="28" t="s">
        <v>47</v>
      </c>
      <c r="C21" s="27">
        <v>53300.3667</v>
      </c>
      <c r="D21" s="27">
        <v>0.0009</v>
      </c>
      <c r="E21" s="1">
        <f aca="true" t="shared" si="0" ref="E21:E28">+(C21-C$7)/C$8</f>
        <v>0</v>
      </c>
      <c r="F21" s="1">
        <f>ROUND(2*E21,0)/2</f>
        <v>0</v>
      </c>
      <c r="G21" s="1">
        <f aca="true" t="shared" si="1" ref="G21:G28">+C21-(C$7+F21*C$8)</f>
        <v>0</v>
      </c>
      <c r="I21" s="1">
        <f>+G21</f>
        <v>0</v>
      </c>
      <c r="O21" s="1">
        <f aca="true" t="shared" si="2" ref="O21:O28">+C$11+C$12*$F21</f>
        <v>0.26909503512874033</v>
      </c>
      <c r="Q21" s="46">
        <f aca="true" t="shared" si="3" ref="Q21:Q28">+C21-15018.5</f>
        <v>38281.8667</v>
      </c>
    </row>
    <row r="22" spans="1:17" ht="12.75">
      <c r="A22" s="27" t="s">
        <v>48</v>
      </c>
      <c r="B22" s="28" t="s">
        <v>47</v>
      </c>
      <c r="C22" s="27">
        <v>55062.5611</v>
      </c>
      <c r="D22" s="27">
        <v>0.0003</v>
      </c>
      <c r="E22" s="1">
        <f t="shared" si="0"/>
        <v>6561.5191852996495</v>
      </c>
      <c r="F22" s="1">
        <f>ROUND(2*E22,0)/2-1</f>
        <v>6560.5</v>
      </c>
      <c r="G22" s="1">
        <f t="shared" si="1"/>
        <v>0.27371750000020256</v>
      </c>
      <c r="H22" s="1">
        <f aca="true" t="shared" si="4" ref="H22:H28">+G22</f>
        <v>0.27371750000020256</v>
      </c>
      <c r="O22" s="1">
        <f t="shared" si="2"/>
        <v>0.26539130694158214</v>
      </c>
      <c r="Q22" s="46">
        <f t="shared" si="3"/>
        <v>40044.0611</v>
      </c>
    </row>
    <row r="23" spans="1:17" ht="12.75">
      <c r="A23" s="27" t="s">
        <v>48</v>
      </c>
      <c r="B23" s="28" t="s">
        <v>47</v>
      </c>
      <c r="C23" s="27">
        <v>55102.41513</v>
      </c>
      <c r="D23" s="27">
        <v>0.0016</v>
      </c>
      <c r="E23" s="1">
        <f t="shared" si="0"/>
        <v>6709.915402230382</v>
      </c>
      <c r="F23" s="1">
        <f aca="true" t="shared" si="5" ref="F23:F29">ROUND(2*E23,0)/2-1</f>
        <v>6709</v>
      </c>
      <c r="G23" s="1">
        <f t="shared" si="1"/>
        <v>0.2458450000049197</v>
      </c>
      <c r="H23" s="1">
        <f t="shared" si="4"/>
        <v>0.2458450000049197</v>
      </c>
      <c r="O23" s="1">
        <f t="shared" si="2"/>
        <v>0.2653074713138414</v>
      </c>
      <c r="Q23" s="46">
        <f t="shared" si="3"/>
        <v>40083.91513</v>
      </c>
    </row>
    <row r="24" spans="1:17" ht="12.75">
      <c r="A24" s="27" t="s">
        <v>48</v>
      </c>
      <c r="B24" s="28" t="s">
        <v>47</v>
      </c>
      <c r="C24" s="27">
        <v>55102.41583</v>
      </c>
      <c r="D24" s="27">
        <v>0.0016</v>
      </c>
      <c r="E24" s="1">
        <f t="shared" si="0"/>
        <v>6709.918008675738</v>
      </c>
      <c r="F24" s="1">
        <f t="shared" si="5"/>
        <v>6709</v>
      </c>
      <c r="G24" s="1">
        <f t="shared" si="1"/>
        <v>0.24654500000178814</v>
      </c>
      <c r="H24" s="1">
        <f t="shared" si="4"/>
        <v>0.24654500000178814</v>
      </c>
      <c r="O24" s="1">
        <f t="shared" si="2"/>
        <v>0.2653074713138414</v>
      </c>
      <c r="Q24" s="46">
        <f t="shared" si="3"/>
        <v>40083.91583</v>
      </c>
    </row>
    <row r="25" spans="1:17" ht="12.75">
      <c r="A25" s="27" t="s">
        <v>48</v>
      </c>
      <c r="B25" s="28" t="s">
        <v>47</v>
      </c>
      <c r="C25" s="27">
        <v>55102.41653</v>
      </c>
      <c r="D25" s="27">
        <v>0.0016</v>
      </c>
      <c r="E25" s="1">
        <f t="shared" si="0"/>
        <v>6709.92061512112</v>
      </c>
      <c r="F25" s="1">
        <f t="shared" si="5"/>
        <v>6709</v>
      </c>
      <c r="G25" s="1">
        <f t="shared" si="1"/>
        <v>0.24724500000593252</v>
      </c>
      <c r="H25" s="1">
        <f t="shared" si="4"/>
        <v>0.24724500000593252</v>
      </c>
      <c r="O25" s="1">
        <f t="shared" si="2"/>
        <v>0.2653074713138414</v>
      </c>
      <c r="Q25" s="46">
        <f t="shared" si="3"/>
        <v>40083.91653</v>
      </c>
    </row>
    <row r="26" spans="1:17" ht="12.75">
      <c r="A26" s="27" t="s">
        <v>48</v>
      </c>
      <c r="B26" s="28" t="s">
        <v>47</v>
      </c>
      <c r="C26" s="27">
        <v>55135.47214</v>
      </c>
      <c r="D26" s="27">
        <v>0.005</v>
      </c>
      <c r="E26" s="1">
        <f t="shared" si="0"/>
        <v>6833.002960177236</v>
      </c>
      <c r="F26" s="1">
        <f t="shared" si="5"/>
        <v>6832</v>
      </c>
      <c r="G26" s="1">
        <f t="shared" si="1"/>
        <v>0.2693599999984144</v>
      </c>
      <c r="H26" s="1">
        <f t="shared" si="4"/>
        <v>0.2693599999984144</v>
      </c>
      <c r="O26" s="1">
        <f t="shared" si="2"/>
        <v>0.26523803170298543</v>
      </c>
      <c r="Q26" s="46">
        <f t="shared" si="3"/>
        <v>40116.97214</v>
      </c>
    </row>
    <row r="27" spans="1:17" ht="12.75">
      <c r="A27" s="27" t="s">
        <v>48</v>
      </c>
      <c r="B27" s="28" t="s">
        <v>47</v>
      </c>
      <c r="C27" s="27">
        <v>55155.33762</v>
      </c>
      <c r="D27" s="27">
        <v>0.0016</v>
      </c>
      <c r="E27" s="1">
        <f t="shared" si="0"/>
        <v>6906.97194347737</v>
      </c>
      <c r="F27" s="1">
        <f t="shared" si="5"/>
        <v>6906</v>
      </c>
      <c r="G27" s="1">
        <f t="shared" si="1"/>
        <v>0.26103000000148313</v>
      </c>
      <c r="H27" s="1">
        <f t="shared" si="4"/>
        <v>0.26103000000148313</v>
      </c>
      <c r="O27" s="1">
        <f t="shared" si="2"/>
        <v>0.26519625502653554</v>
      </c>
      <c r="Q27" s="46">
        <f t="shared" si="3"/>
        <v>40136.83762</v>
      </c>
    </row>
    <row r="28" spans="1:17" ht="12.75">
      <c r="A28" s="27" t="s">
        <v>48</v>
      </c>
      <c r="B28" s="28" t="s">
        <v>47</v>
      </c>
      <c r="C28" s="27">
        <v>55514.4447</v>
      </c>
      <c r="D28" s="27">
        <v>0.0032</v>
      </c>
      <c r="E28" s="1">
        <f t="shared" si="0"/>
        <v>8244.10477910376</v>
      </c>
      <c r="F28" s="1">
        <f t="shared" si="5"/>
        <v>8243</v>
      </c>
      <c r="G28" s="1">
        <f t="shared" si="1"/>
        <v>0.2967050000006566</v>
      </c>
      <c r="H28" s="1">
        <f t="shared" si="4"/>
        <v>0.2967050000006566</v>
      </c>
      <c r="O28" s="1">
        <f t="shared" si="2"/>
        <v>0.2644414521020282</v>
      </c>
      <c r="Q28" s="46">
        <f t="shared" si="3"/>
        <v>40495.9447</v>
      </c>
    </row>
    <row r="29" spans="1:17" ht="12.75">
      <c r="A29" s="29" t="s">
        <v>49</v>
      </c>
      <c r="B29" s="29"/>
      <c r="C29" s="30">
        <v>55461.5281</v>
      </c>
      <c r="D29" s="30">
        <v>0.0094</v>
      </c>
      <c r="E29" s="1">
        <f>+(C29-C$7)/C$8</f>
        <v>8047.070169232791</v>
      </c>
      <c r="F29" s="1">
        <f t="shared" si="5"/>
        <v>8046</v>
      </c>
      <c r="G29" s="1">
        <f>+C29-(C$7+F29*C$8)</f>
        <v>0.2874100000044564</v>
      </c>
      <c r="I29" s="1">
        <f>+G29</f>
        <v>0.2874100000044564</v>
      </c>
      <c r="O29" s="1">
        <f>+C$11+C$12*$F29</f>
        <v>0.26455266838933406</v>
      </c>
      <c r="Q29" s="46">
        <f>+C29-15018.5</f>
        <v>40443.0281</v>
      </c>
    </row>
    <row r="30" spans="1:17" ht="12.75">
      <c r="A30" s="31" t="s">
        <v>50</v>
      </c>
      <c r="B30" s="32" t="s">
        <v>51</v>
      </c>
      <c r="C30" s="33">
        <v>58065.36861999985</v>
      </c>
      <c r="D30" s="33">
        <v>0.0014</v>
      </c>
      <c r="E30" s="1">
        <f>+(C30-C$7)/C$8</f>
        <v>17742.453111909035</v>
      </c>
      <c r="F30" s="1">
        <f>ROUND(2*E30,0)/2-1</f>
        <v>17741.5</v>
      </c>
      <c r="G30" s="1">
        <f>+C30-(C$7+F30*C$8)</f>
        <v>0.25597249985003145</v>
      </c>
      <c r="I30" s="1">
        <f>+G30</f>
        <v>0.25597249985003145</v>
      </c>
      <c r="O30" s="1">
        <f>+C$11+C$12*$F30</f>
        <v>0.25907907694987176</v>
      </c>
      <c r="Q30" s="46">
        <f>+C30-15018.5</f>
        <v>43046.86861999985</v>
      </c>
    </row>
    <row r="31" spans="1:17" ht="12.75">
      <c r="A31" s="31" t="s">
        <v>50</v>
      </c>
      <c r="B31" s="32" t="s">
        <v>47</v>
      </c>
      <c r="C31" s="33">
        <v>58065.50199999986</v>
      </c>
      <c r="D31" s="33">
        <v>0.0018</v>
      </c>
      <c r="E31" s="1">
        <f>+(C31-C$7)/C$8</f>
        <v>17742.949751456308</v>
      </c>
      <c r="F31" s="1">
        <f>ROUND(2*E31,0)/2-1</f>
        <v>17742</v>
      </c>
      <c r="G31" s="1">
        <f>+C31-(C$7+F31*C$8)</f>
        <v>0.2550699998610071</v>
      </c>
      <c r="I31" s="1">
        <f>+G31</f>
        <v>0.2550699998610071</v>
      </c>
      <c r="O31" s="1">
        <f>+C$11+C$12*$F31</f>
        <v>0.25907879467503087</v>
      </c>
      <c r="Q31" s="46">
        <f>+C31-15018.5</f>
        <v>43047.00199999986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9.7109375" style="9" customWidth="1"/>
    <col min="2" max="2" width="4.421875" style="0" customWidth="1"/>
    <col min="3" max="3" width="12.7109375" style="9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9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34" t="s">
        <v>52</v>
      </c>
      <c r="I1" s="35" t="s">
        <v>53</v>
      </c>
      <c r="J1" s="36" t="s">
        <v>54</v>
      </c>
    </row>
    <row r="2" spans="9:10" ht="12.75">
      <c r="I2" s="37" t="s">
        <v>55</v>
      </c>
      <c r="J2" s="38" t="s">
        <v>56</v>
      </c>
    </row>
    <row r="3" spans="1:10" ht="12.75">
      <c r="A3" s="39" t="s">
        <v>57</v>
      </c>
      <c r="I3" s="37" t="s">
        <v>58</v>
      </c>
      <c r="J3" s="38" t="s">
        <v>59</v>
      </c>
    </row>
    <row r="4" spans="9:10" ht="12.75">
      <c r="I4" s="37" t="s">
        <v>60</v>
      </c>
      <c r="J4" s="38" t="s">
        <v>59</v>
      </c>
    </row>
    <row r="5" spans="9:10" ht="12.75">
      <c r="I5" s="40" t="s">
        <v>61</v>
      </c>
      <c r="J5" s="41" t="s">
        <v>62</v>
      </c>
    </row>
    <row r="11" spans="1:16" ht="12.75" customHeight="1">
      <c r="A11" s="9" t="str">
        <f aca="true" t="shared" si="0" ref="A11:A19">P11</f>
        <v>BAVM 173 </v>
      </c>
      <c r="B11" s="3" t="str">
        <f aca="true" t="shared" si="1" ref="B11:B19">IF(H11=INT(H11),"I","II")</f>
        <v>I</v>
      </c>
      <c r="C11" s="9">
        <f aca="true" t="shared" si="2" ref="C11:C19">1*G11</f>
        <v>53300.3667</v>
      </c>
      <c r="D11" t="str">
        <f aca="true" t="shared" si="3" ref="D11:D19">VLOOKUP(F11,I$1:J$5,2,FALSE)</f>
        <v>vis</v>
      </c>
      <c r="E11">
        <f>VLOOKUP(C11,A!C$21:E$973,3,FALSE)</f>
        <v>0</v>
      </c>
      <c r="F11" s="3" t="s">
        <v>61</v>
      </c>
      <c r="G11" t="str">
        <f aca="true" t="shared" si="4" ref="G11:G19">MID(I11,3,LEN(I11)-3)</f>
        <v>53300.3667</v>
      </c>
      <c r="H11" s="9">
        <f aca="true" t="shared" si="5" ref="H11:H19">1*K11</f>
        <v>0</v>
      </c>
      <c r="I11" s="42" t="s">
        <v>63</v>
      </c>
      <c r="J11" s="43" t="s">
        <v>64</v>
      </c>
      <c r="K11" s="42">
        <v>0</v>
      </c>
      <c r="L11" s="42" t="s">
        <v>65</v>
      </c>
      <c r="M11" s="43" t="s">
        <v>66</v>
      </c>
      <c r="N11" s="43" t="s">
        <v>67</v>
      </c>
      <c r="O11" s="44" t="s">
        <v>68</v>
      </c>
      <c r="P11" s="45" t="s">
        <v>69</v>
      </c>
    </row>
    <row r="12" spans="1:16" ht="12.75" customHeight="1">
      <c r="A12" s="9" t="str">
        <f t="shared" si="0"/>
        <v>OEJV 0137 </v>
      </c>
      <c r="B12" s="3" t="str">
        <f t="shared" si="1"/>
        <v>I</v>
      </c>
      <c r="C12" s="9">
        <f t="shared" si="2"/>
        <v>55062.5611</v>
      </c>
      <c r="D12" t="str">
        <f t="shared" si="3"/>
        <v>vis</v>
      </c>
      <c r="E12">
        <f>VLOOKUP(C12,A!C$21:E$973,3,FALSE)</f>
        <v>6561.5191852996495</v>
      </c>
      <c r="F12" s="3" t="s">
        <v>61</v>
      </c>
      <c r="G12" t="str">
        <f t="shared" si="4"/>
        <v>55062.5611</v>
      </c>
      <c r="H12" s="9">
        <f t="shared" si="5"/>
        <v>1762</v>
      </c>
      <c r="I12" s="42" t="s">
        <v>70</v>
      </c>
      <c r="J12" s="43" t="s">
        <v>71</v>
      </c>
      <c r="K12" s="42" t="s">
        <v>72</v>
      </c>
      <c r="L12" s="42" t="s">
        <v>73</v>
      </c>
      <c r="M12" s="43" t="s">
        <v>74</v>
      </c>
      <c r="N12" s="43" t="s">
        <v>53</v>
      </c>
      <c r="O12" s="44" t="s">
        <v>75</v>
      </c>
      <c r="P12" s="45" t="s">
        <v>76</v>
      </c>
    </row>
    <row r="13" spans="1:16" ht="12.75" customHeight="1">
      <c r="A13" s="9" t="str">
        <f t="shared" si="0"/>
        <v>BAVM 215 </v>
      </c>
      <c r="B13" s="3" t="str">
        <f t="shared" si="1"/>
        <v>I</v>
      </c>
      <c r="C13" s="9">
        <f t="shared" si="2"/>
        <v>55461.5281</v>
      </c>
      <c r="D13" t="str">
        <f t="shared" si="3"/>
        <v>vis</v>
      </c>
      <c r="E13">
        <f>VLOOKUP(C13,A!C$21:E$973,3,FALSE)</f>
        <v>8047.070169232791</v>
      </c>
      <c r="F13" s="3" t="s">
        <v>61</v>
      </c>
      <c r="G13" t="str">
        <f t="shared" si="4"/>
        <v>55461.5281</v>
      </c>
      <c r="H13" s="9">
        <f t="shared" si="5"/>
        <v>2161</v>
      </c>
      <c r="I13" s="42" t="s">
        <v>77</v>
      </c>
      <c r="J13" s="43" t="s">
        <v>78</v>
      </c>
      <c r="K13" s="42" t="s">
        <v>79</v>
      </c>
      <c r="L13" s="42" t="s">
        <v>80</v>
      </c>
      <c r="M13" s="43" t="s">
        <v>74</v>
      </c>
      <c r="N13" s="43" t="s">
        <v>67</v>
      </c>
      <c r="O13" s="44" t="s">
        <v>81</v>
      </c>
      <c r="P13" s="45" t="s">
        <v>82</v>
      </c>
    </row>
    <row r="14" spans="1:16" ht="12.75" customHeight="1">
      <c r="A14" s="9" t="str">
        <f t="shared" si="0"/>
        <v>OEJV 0137 </v>
      </c>
      <c r="B14" s="3" t="str">
        <f t="shared" si="1"/>
        <v>I</v>
      </c>
      <c r="C14" s="9">
        <f t="shared" si="2"/>
        <v>55514.4447</v>
      </c>
      <c r="D14" t="str">
        <f t="shared" si="3"/>
        <v>vis</v>
      </c>
      <c r="E14">
        <f>VLOOKUP(C14,A!C$21:E$973,3,FALSE)</f>
        <v>8244.10477910376</v>
      </c>
      <c r="F14" s="3" t="s">
        <v>61</v>
      </c>
      <c r="G14" t="str">
        <f t="shared" si="4"/>
        <v>55514.4447</v>
      </c>
      <c r="H14" s="9">
        <f t="shared" si="5"/>
        <v>2214</v>
      </c>
      <c r="I14" s="42" t="s">
        <v>83</v>
      </c>
      <c r="J14" s="43" t="s">
        <v>84</v>
      </c>
      <c r="K14" s="42" t="s">
        <v>85</v>
      </c>
      <c r="L14" s="42" t="s">
        <v>86</v>
      </c>
      <c r="M14" s="43" t="s">
        <v>74</v>
      </c>
      <c r="N14" s="43" t="s">
        <v>87</v>
      </c>
      <c r="O14" s="44" t="s">
        <v>88</v>
      </c>
      <c r="P14" s="45" t="s">
        <v>76</v>
      </c>
    </row>
    <row r="15" spans="1:16" ht="12.75" customHeight="1">
      <c r="A15" s="9" t="str">
        <f t="shared" si="0"/>
        <v>OEJV 0137 </v>
      </c>
      <c r="B15" s="3" t="str">
        <f t="shared" si="1"/>
        <v>I</v>
      </c>
      <c r="C15" s="9">
        <f t="shared" si="2"/>
        <v>55102.4151</v>
      </c>
      <c r="D15" t="str">
        <f t="shared" si="3"/>
        <v>vis</v>
      </c>
      <c r="E15" t="e">
        <f>VLOOKUP(C15,A!C$21:E$973,3,FALSE)</f>
        <v>#N/A</v>
      </c>
      <c r="F15" s="3" t="s">
        <v>61</v>
      </c>
      <c r="G15" t="str">
        <f t="shared" si="4"/>
        <v>55102.4151</v>
      </c>
      <c r="H15" s="9">
        <f t="shared" si="5"/>
        <v>1802</v>
      </c>
      <c r="I15" s="42" t="s">
        <v>89</v>
      </c>
      <c r="J15" s="43" t="s">
        <v>90</v>
      </c>
      <c r="K15" s="42" t="s">
        <v>91</v>
      </c>
      <c r="L15" s="42" t="s">
        <v>92</v>
      </c>
      <c r="M15" s="43" t="s">
        <v>74</v>
      </c>
      <c r="N15" s="43" t="s">
        <v>61</v>
      </c>
      <c r="O15" s="44" t="s">
        <v>88</v>
      </c>
      <c r="P15" s="45" t="s">
        <v>76</v>
      </c>
    </row>
    <row r="16" spans="1:16" ht="12.75" customHeight="1">
      <c r="A16" s="9" t="str">
        <f t="shared" si="0"/>
        <v>OEJV 0137 </v>
      </c>
      <c r="B16" s="3" t="str">
        <f t="shared" si="1"/>
        <v>I</v>
      </c>
      <c r="C16" s="9">
        <f t="shared" si="2"/>
        <v>55102.4158</v>
      </c>
      <c r="D16" t="str">
        <f t="shared" si="3"/>
        <v>vis</v>
      </c>
      <c r="E16" t="e">
        <f>VLOOKUP(C16,A!C$21:E$973,3,FALSE)</f>
        <v>#N/A</v>
      </c>
      <c r="F16" s="3" t="s">
        <v>61</v>
      </c>
      <c r="G16" t="str">
        <f t="shared" si="4"/>
        <v>55102.4158</v>
      </c>
      <c r="H16" s="9">
        <f t="shared" si="5"/>
        <v>1802</v>
      </c>
      <c r="I16" s="42" t="s">
        <v>93</v>
      </c>
      <c r="J16" s="43" t="s">
        <v>94</v>
      </c>
      <c r="K16" s="42" t="s">
        <v>91</v>
      </c>
      <c r="L16" s="42" t="s">
        <v>95</v>
      </c>
      <c r="M16" s="43" t="s">
        <v>74</v>
      </c>
      <c r="N16" s="43" t="s">
        <v>87</v>
      </c>
      <c r="O16" s="44" t="s">
        <v>88</v>
      </c>
      <c r="P16" s="45" t="s">
        <v>76</v>
      </c>
    </row>
    <row r="17" spans="1:16" ht="12.75" customHeight="1">
      <c r="A17" s="9" t="str">
        <f t="shared" si="0"/>
        <v>OEJV 0137 </v>
      </c>
      <c r="B17" s="3" t="str">
        <f t="shared" si="1"/>
        <v>I</v>
      </c>
      <c r="C17" s="9">
        <f t="shared" si="2"/>
        <v>55102.4165</v>
      </c>
      <c r="D17" t="str">
        <f t="shared" si="3"/>
        <v>vis</v>
      </c>
      <c r="E17" t="e">
        <f>VLOOKUP(C17,A!C$21:E$973,3,FALSE)</f>
        <v>#N/A</v>
      </c>
      <c r="F17" s="3" t="s">
        <v>61</v>
      </c>
      <c r="G17" t="str">
        <f t="shared" si="4"/>
        <v>55102.4165</v>
      </c>
      <c r="H17" s="9">
        <f t="shared" si="5"/>
        <v>1802</v>
      </c>
      <c r="I17" s="42" t="s">
        <v>96</v>
      </c>
      <c r="J17" s="43" t="s">
        <v>97</v>
      </c>
      <c r="K17" s="42" t="s">
        <v>91</v>
      </c>
      <c r="L17" s="42" t="s">
        <v>98</v>
      </c>
      <c r="M17" s="43" t="s">
        <v>74</v>
      </c>
      <c r="N17" s="43" t="s">
        <v>99</v>
      </c>
      <c r="O17" s="44" t="s">
        <v>88</v>
      </c>
      <c r="P17" s="45" t="s">
        <v>76</v>
      </c>
    </row>
    <row r="18" spans="1:16" ht="12.75" customHeight="1">
      <c r="A18" s="9" t="str">
        <f t="shared" si="0"/>
        <v>OEJV 0137 </v>
      </c>
      <c r="B18" s="3" t="str">
        <f t="shared" si="1"/>
        <v>I</v>
      </c>
      <c r="C18" s="9">
        <f t="shared" si="2"/>
        <v>55135.4721</v>
      </c>
      <c r="D18" t="str">
        <f t="shared" si="3"/>
        <v>vis</v>
      </c>
      <c r="E18" t="e">
        <f>VLOOKUP(C18,A!C$21:E$973,3,FALSE)</f>
        <v>#N/A</v>
      </c>
      <c r="F18" s="3" t="s">
        <v>61</v>
      </c>
      <c r="G18" t="str">
        <f t="shared" si="4"/>
        <v>55135.4721</v>
      </c>
      <c r="H18" s="9">
        <f t="shared" si="5"/>
        <v>1835</v>
      </c>
      <c r="I18" s="42" t="s">
        <v>100</v>
      </c>
      <c r="J18" s="43" t="s">
        <v>101</v>
      </c>
      <c r="K18" s="42" t="s">
        <v>102</v>
      </c>
      <c r="L18" s="42" t="s">
        <v>103</v>
      </c>
      <c r="M18" s="43" t="s">
        <v>74</v>
      </c>
      <c r="N18" s="43" t="s">
        <v>87</v>
      </c>
      <c r="O18" s="44" t="s">
        <v>88</v>
      </c>
      <c r="P18" s="45" t="s">
        <v>76</v>
      </c>
    </row>
    <row r="19" spans="1:16" ht="12.75" customHeight="1">
      <c r="A19" s="9" t="str">
        <f t="shared" si="0"/>
        <v>OEJV 0137 </v>
      </c>
      <c r="B19" s="3" t="str">
        <f t="shared" si="1"/>
        <v>I</v>
      </c>
      <c r="C19" s="9">
        <f t="shared" si="2"/>
        <v>55155.3376</v>
      </c>
      <c r="D19" t="str">
        <f t="shared" si="3"/>
        <v>vis</v>
      </c>
      <c r="E19" t="e">
        <f>VLOOKUP(C19,A!C$21:E$973,3,FALSE)</f>
        <v>#N/A</v>
      </c>
      <c r="F19" s="3" t="s">
        <v>61</v>
      </c>
      <c r="G19" t="str">
        <f t="shared" si="4"/>
        <v>55155.3376</v>
      </c>
      <c r="H19" s="9">
        <f t="shared" si="5"/>
        <v>1855</v>
      </c>
      <c r="I19" s="42" t="s">
        <v>104</v>
      </c>
      <c r="J19" s="43" t="s">
        <v>105</v>
      </c>
      <c r="K19" s="42" t="s">
        <v>106</v>
      </c>
      <c r="L19" s="42" t="s">
        <v>107</v>
      </c>
      <c r="M19" s="43" t="s">
        <v>74</v>
      </c>
      <c r="N19" s="43" t="s">
        <v>87</v>
      </c>
      <c r="O19" s="44" t="s">
        <v>88</v>
      </c>
      <c r="P19" s="45" t="s">
        <v>76</v>
      </c>
    </row>
  </sheetData>
  <sheetProtection selectLockedCells="1" selectUnlockedCells="1"/>
  <hyperlinks>
    <hyperlink ref="P11" r:id="rId1" display="BAVM 173 "/>
    <hyperlink ref="P12" r:id="rId2" display="OEJV 0137 "/>
    <hyperlink ref="P13" r:id="rId3" display="BAVM 215 "/>
    <hyperlink ref="P14" r:id="rId4" display="OEJV 0137 "/>
    <hyperlink ref="P15" r:id="rId5" display="OEJV 0137 "/>
    <hyperlink ref="P16" r:id="rId6" display="OEJV 0137 "/>
    <hyperlink ref="P17" r:id="rId7" display="OEJV 0137 "/>
    <hyperlink ref="P18" r:id="rId8" display="OEJV 0137 "/>
    <hyperlink ref="P19" r:id="rId9" display="OEJV 0137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2022-11-24T04:05:27Z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