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<sst xmlns="http://schemas.openxmlformats.org/spreadsheetml/2006/main" count="65" uniqueCount="52">
  <si>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BI Tri / GSC 2307-0239</t>
  </si>
  <si>
    <t>System Type:</t>
  </si>
  <si>
    <t>EW</t>
  </si>
  <si>
    <t>BI Tri</t>
  </si>
  <si>
    <t>G2307-0239</t>
  </si>
  <si>
    <t>GCVS 4 Eph.</t>
  </si>
  <si>
    <t>not avail.</t>
  </si>
  <si>
    <t>--- Working ----</t>
  </si>
  <si>
    <t>Epoch =</t>
  </si>
  <si>
    <t>BRNO</t>
  </si>
  <si>
    <t>Period =</t>
  </si>
  <si>
    <t>My time zone &gt;&gt;&gt;&gt;&gt;</t>
  </si>
  <si>
    <t>(PST=8, PDT=MDT=7, MDT=CST=6, etc.)</t>
  </si>
  <si>
    <t>Linear</t>
  </si>
  <si>
    <t>Quadratic</t>
  </si>
  <si>
    <t>LS Intercept =</t>
  </si>
  <si>
    <t>LS Slope =</t>
  </si>
  <si>
    <t>LS Quadr term =</t>
  </si>
  <si>
    <t>na</t>
  </si>
  <si>
    <t>Add cycle</t>
  </si>
  <si>
    <t>JD today</t>
  </si>
  <si>
    <t>New epoch =</t>
  </si>
  <si>
    <t>Old Cycle</t>
  </si>
  <si>
    <t>New Period =</t>
  </si>
  <si>
    <t>New Cycle</t>
  </si>
  <si>
    <t># of data points:</t>
  </si>
  <si>
    <t>Next ToM</t>
  </si>
  <si>
    <t>New Ephemeris =</t>
  </si>
  <si>
    <t>Local time</t>
  </si>
  <si>
    <t>Start of linear fit &gt;&gt;&gt;&gt;&gt;&gt;&gt;&gt;&gt;&gt;&gt;&gt;&gt;&gt;&gt;&gt;&gt;&gt;&gt;&gt;&gt;</t>
  </si>
  <si>
    <t>Source</t>
  </si>
  <si>
    <t>Typ</t>
  </si>
  <si>
    <t>ToM</t>
  </si>
  <si>
    <t>error</t>
  </si>
  <si>
    <t>n'</t>
  </si>
  <si>
    <t>n</t>
  </si>
  <si>
    <t>O-C</t>
  </si>
  <si>
    <t>OEJV</t>
  </si>
  <si>
    <t>IBVS</t>
  </si>
  <si>
    <t>S4</t>
  </si>
  <si>
    <t>S5</t>
  </si>
  <si>
    <t>S6</t>
  </si>
  <si>
    <t>Misc</t>
  </si>
  <si>
    <t>Lin Fit</t>
  </si>
  <si>
    <t>Q. Fit</t>
  </si>
  <si>
    <t>Date</t>
  </si>
  <si>
    <t>BAD</t>
  </si>
  <si>
    <t>OEJV 0160</t>
  </si>
  <si>
    <t>I</t>
  </si>
  <si>
    <t>IBVS 6084</t>
  </si>
  <si>
    <t>OEJV 0211</t>
  </si>
  <si>
    <t>II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</si>
</sst>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</numFmts>
  <fonts count="47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5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6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 Tri - O-C Diagr.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8775"/>
          <c:w val="0.90675"/>
          <c:h val="0.686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BRNO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A!$H$21:$H$29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A!$I$21:$I$29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A!$J$21:$J$29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A!$K$21:$K$29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A!$L$21:$L$29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A!$M$21:$M$29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A!$N$21:$N$29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A!$F$21:$F$29</c:f>
              <c:numCache/>
            </c:numRef>
          </c:xVal>
          <c:yVal>
            <c:numRef>
              <c:f>A!$O$21:$O$29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CC9CCC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A!$R$21:$R$29</c:f>
              <c:numCache/>
            </c:numRef>
          </c:yVal>
          <c:smooth val="0"/>
        </c:ser>
        <c:axId val="34538971"/>
        <c:axId val="46353440"/>
      </c:scatterChart>
      <c:valAx>
        <c:axId val="34538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53440"/>
        <c:crossesAt val="0"/>
        <c:crossBetween val="midCat"/>
        <c:dispUnits/>
      </c:valAx>
      <c:valAx>
        <c:axId val="46353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38971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575"/>
          <c:y val="0.926"/>
          <c:w val="0.766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4103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L35" sqref="L35"/>
    </sheetView>
  </sheetViews>
  <sheetFormatPr defaultColWidth="10.28125" defaultRowHeight="12.75"/>
  <cols>
    <col min="1" max="1" width="14.421875" style="1" customWidth="1"/>
    <col min="2" max="2" width="4.8515625" style="1" customWidth="1"/>
    <col min="3" max="3" width="11.8515625" style="1" customWidth="1"/>
    <col min="4" max="4" width="9.421875" style="1" customWidth="1"/>
    <col min="5" max="5" width="16.421875" style="1" customWidth="1"/>
    <col min="6" max="6" width="10.281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6" ht="12.75">
      <c r="A2" s="1" t="s">
        <v>1</v>
      </c>
      <c r="B2" s="1" t="s">
        <v>2</v>
      </c>
      <c r="C2" s="3"/>
      <c r="D2" s="3"/>
      <c r="E2" s="4" t="s">
        <v>3</v>
      </c>
      <c r="F2" s="1" t="s">
        <v>4</v>
      </c>
    </row>
    <row r="4" spans="1:4" ht="12.75">
      <c r="A4" s="5" t="s">
        <v>5</v>
      </c>
      <c r="C4" s="6" t="s">
        <v>6</v>
      </c>
      <c r="D4" s="7" t="s">
        <v>6</v>
      </c>
    </row>
    <row r="6" ht="12.75">
      <c r="A6" s="5" t="s">
        <v>7</v>
      </c>
    </row>
    <row r="7" spans="1:4" ht="12.75">
      <c r="A7" s="1" t="s">
        <v>8</v>
      </c>
      <c r="C7" s="8">
        <v>51491.652</v>
      </c>
      <c r="D7" s="9" t="s">
        <v>9</v>
      </c>
    </row>
    <row r="8" spans="1:4" ht="12.75">
      <c r="A8" s="1" t="s">
        <v>10</v>
      </c>
      <c r="C8" s="8">
        <v>0.54934</v>
      </c>
      <c r="D8" s="9" t="s">
        <v>9</v>
      </c>
    </row>
    <row r="9" spans="1:5" ht="12.75">
      <c r="A9" s="10" t="s">
        <v>11</v>
      </c>
      <c r="B9" s="4"/>
      <c r="C9" s="11">
        <v>-9.5</v>
      </c>
      <c r="D9" s="4" t="s">
        <v>12</v>
      </c>
      <c r="E9" s="4"/>
    </row>
    <row r="10" spans="1:5" ht="12.75">
      <c r="A10" s="4"/>
      <c r="B10" s="4"/>
      <c r="C10" s="12" t="s">
        <v>13</v>
      </c>
      <c r="D10" s="12" t="s">
        <v>14</v>
      </c>
      <c r="E10" s="4"/>
    </row>
    <row r="11" spans="1:7" ht="12.75">
      <c r="A11" s="4" t="s">
        <v>15</v>
      </c>
      <c r="B11" s="4"/>
      <c r="C11" s="13">
        <f ca="1">INTERCEPT(INDIRECT($G$11):G992,INDIRECT($F$11):F992)</f>
        <v>0.11624073569067711</v>
      </c>
      <c r="D11" s="3"/>
      <c r="E11" s="4"/>
      <c r="F11" s="14" t="str">
        <f>"F"&amp;E19</f>
        <v>F21</v>
      </c>
      <c r="G11" s="15" t="str">
        <f>"G"&amp;E19</f>
        <v>G21</v>
      </c>
    </row>
    <row r="12" spans="1:5" ht="12.75">
      <c r="A12" s="4" t="s">
        <v>16</v>
      </c>
      <c r="B12" s="4"/>
      <c r="C12" s="13">
        <f ca="1">SLOPE(INDIRECT($G$11):G992,INDIRECT($F$11):F992)</f>
        <v>-1.4660143396210645E-05</v>
      </c>
      <c r="D12" s="3"/>
      <c r="E12" s="4"/>
    </row>
    <row r="13" spans="1:5" ht="12.75">
      <c r="A13" s="4" t="s">
        <v>17</v>
      </c>
      <c r="B13" s="4"/>
      <c r="C13" s="3" t="s">
        <v>18</v>
      </c>
      <c r="D13" s="16" t="s">
        <v>19</v>
      </c>
      <c r="E13" s="11">
        <v>1</v>
      </c>
    </row>
    <row r="14" spans="1:5" ht="12.75">
      <c r="A14" s="4"/>
      <c r="B14" s="4"/>
      <c r="C14" s="4"/>
      <c r="D14" s="16" t="s">
        <v>20</v>
      </c>
      <c r="E14" s="13">
        <f ca="1">NOW()+15018.5+$C$9/24</f>
        <v>59907.71426261574</v>
      </c>
    </row>
    <row r="15" spans="1:5" ht="12.75">
      <c r="A15" s="17" t="s">
        <v>21</v>
      </c>
      <c r="B15" s="4"/>
      <c r="C15" s="18">
        <f>(C7+C11)+(C8+C12)*INT(MAX(F21:F3533))</f>
        <v>58095.20815115193</v>
      </c>
      <c r="D15" s="16" t="s">
        <v>22</v>
      </c>
      <c r="E15" s="13">
        <f>ROUND(2*(E14-$C$7)/$C$8,0)/2+E13</f>
        <v>15321.5</v>
      </c>
    </row>
    <row r="16" spans="1:5" ht="12.75">
      <c r="A16" s="17" t="s">
        <v>23</v>
      </c>
      <c r="B16" s="4"/>
      <c r="C16" s="18">
        <f>+C8+C12</f>
        <v>0.5493253398566038</v>
      </c>
      <c r="D16" s="16" t="s">
        <v>24</v>
      </c>
      <c r="E16" s="15">
        <f>ROUND(2*(E14-$C$15)/$C$16,0)/2+E13</f>
        <v>3300.5</v>
      </c>
    </row>
    <row r="17" spans="1:5" ht="12.75">
      <c r="A17" s="16" t="s">
        <v>25</v>
      </c>
      <c r="B17" s="4"/>
      <c r="C17" s="4">
        <f>COUNT(C21:C2191)</f>
        <v>9</v>
      </c>
      <c r="D17" s="16" t="s">
        <v>26</v>
      </c>
      <c r="E17" s="19">
        <f>+$C$15+$C$16*E16-15018.5-$C$9/24</f>
        <v>44890.15226868199</v>
      </c>
    </row>
    <row r="18" spans="1:5" ht="12.75">
      <c r="A18" s="17" t="s">
        <v>27</v>
      </c>
      <c r="B18" s="4"/>
      <c r="C18" s="20">
        <f>+C15</f>
        <v>58095.20815115193</v>
      </c>
      <c r="D18" s="21">
        <f>+C16</f>
        <v>0.5493253398566038</v>
      </c>
      <c r="E18" s="22" t="s">
        <v>28</v>
      </c>
    </row>
    <row r="19" spans="1:5" ht="12.75">
      <c r="A19" s="23" t="s">
        <v>29</v>
      </c>
      <c r="E19" s="24">
        <v>21</v>
      </c>
    </row>
    <row r="20" spans="1:18" ht="12.75">
      <c r="A20" s="12" t="s">
        <v>30</v>
      </c>
      <c r="B20" s="12" t="s">
        <v>31</v>
      </c>
      <c r="C20" s="12" t="s">
        <v>32</v>
      </c>
      <c r="D20" s="12" t="s">
        <v>33</v>
      </c>
      <c r="E20" s="12" t="s">
        <v>34</v>
      </c>
      <c r="F20" s="12" t="s">
        <v>35</v>
      </c>
      <c r="G20" s="12" t="s">
        <v>36</v>
      </c>
      <c r="H20" s="25" t="str">
        <f>A21</f>
        <v>BRNO</v>
      </c>
      <c r="I20" s="25" t="s">
        <v>37</v>
      </c>
      <c r="J20" s="25" t="s">
        <v>38</v>
      </c>
      <c r="K20" s="25" t="s">
        <v>39</v>
      </c>
      <c r="L20" s="25" t="s">
        <v>40</v>
      </c>
      <c r="M20" s="25" t="s">
        <v>41</v>
      </c>
      <c r="N20" s="25" t="s">
        <v>42</v>
      </c>
      <c r="O20" s="25" t="s">
        <v>43</v>
      </c>
      <c r="P20" s="25" t="s">
        <v>44</v>
      </c>
      <c r="Q20" s="12" t="s">
        <v>45</v>
      </c>
      <c r="R20" s="26" t="s">
        <v>46</v>
      </c>
    </row>
    <row r="21" spans="1:17" ht="12.75">
      <c r="A21" s="1" t="str">
        <f>D$7</f>
        <v>BRNO</v>
      </c>
      <c r="C21" s="8">
        <f>C$7</f>
        <v>51491.652</v>
      </c>
      <c r="D21" s="8" t="s">
        <v>18</v>
      </c>
      <c r="E21" s="1">
        <f aca="true" t="shared" si="0" ref="E21:E29">+(C21-C$7)/C$8</f>
        <v>0</v>
      </c>
      <c r="F21" s="1">
        <f aca="true" t="shared" si="1" ref="F21:F29">ROUND(2*E21,0)/2</f>
        <v>0</v>
      </c>
      <c r="G21" s="1">
        <f aca="true" t="shared" si="2" ref="G21:G29">+C21-(C$7+F21*C$8)</f>
        <v>0</v>
      </c>
      <c r="H21" s="1">
        <f>+G21</f>
        <v>0</v>
      </c>
      <c r="O21" s="1">
        <f aca="true" t="shared" si="3" ref="O21:O29">+C$11+C$12*$F21</f>
        <v>0.11624073569067711</v>
      </c>
      <c r="Q21" s="27">
        <f aca="true" t="shared" si="4" ref="Q21:Q29">+C21-15018.5</f>
        <v>36473.152</v>
      </c>
    </row>
    <row r="22" spans="1:17" ht="12.75">
      <c r="A22" s="28" t="s">
        <v>47</v>
      </c>
      <c r="B22" s="29" t="s">
        <v>48</v>
      </c>
      <c r="C22" s="30">
        <v>55831.52191</v>
      </c>
      <c r="D22" s="30">
        <v>0.0016</v>
      </c>
      <c r="E22" s="1">
        <f t="shared" si="0"/>
        <v>7900.152746932685</v>
      </c>
      <c r="F22" s="1">
        <f t="shared" si="1"/>
        <v>7900</v>
      </c>
      <c r="G22" s="1">
        <f t="shared" si="2"/>
        <v>0.08391000000119675</v>
      </c>
      <c r="I22" s="1">
        <f>+G22</f>
        <v>0.08391000000119675</v>
      </c>
      <c r="O22" s="1">
        <f t="shared" si="3"/>
        <v>0.00042560286061300856</v>
      </c>
      <c r="Q22" s="27">
        <f t="shared" si="4"/>
        <v>40813.02191</v>
      </c>
    </row>
    <row r="23" spans="1:17" ht="12.75">
      <c r="A23" s="28" t="s">
        <v>47</v>
      </c>
      <c r="B23" s="29" t="s">
        <v>48</v>
      </c>
      <c r="C23" s="30">
        <v>55831.52191</v>
      </c>
      <c r="D23" s="30">
        <v>0.0016</v>
      </c>
      <c r="E23" s="1">
        <f t="shared" si="0"/>
        <v>7900.152746932685</v>
      </c>
      <c r="F23" s="1">
        <f t="shared" si="1"/>
        <v>7900</v>
      </c>
      <c r="G23" s="1">
        <f t="shared" si="2"/>
        <v>0.08391000000119675</v>
      </c>
      <c r="I23" s="1">
        <f>+G23</f>
        <v>0.08391000000119675</v>
      </c>
      <c r="O23" s="1">
        <f t="shared" si="3"/>
        <v>0.00042560286061300856</v>
      </c>
      <c r="Q23" s="27">
        <f t="shared" si="4"/>
        <v>40813.02191</v>
      </c>
    </row>
    <row r="24" spans="1:17" ht="12.75">
      <c r="A24" s="28" t="s">
        <v>47</v>
      </c>
      <c r="B24" s="29" t="s">
        <v>48</v>
      </c>
      <c r="C24" s="30">
        <v>55831.52321</v>
      </c>
      <c r="D24" s="30">
        <v>0.0016</v>
      </c>
      <c r="E24" s="1">
        <f t="shared" si="0"/>
        <v>7900.155113408812</v>
      </c>
      <c r="F24" s="1">
        <f t="shared" si="1"/>
        <v>7900</v>
      </c>
      <c r="G24" s="1">
        <f t="shared" si="2"/>
        <v>0.08520999999745982</v>
      </c>
      <c r="I24" s="1">
        <f>+G24</f>
        <v>0.08520999999745982</v>
      </c>
      <c r="O24" s="1">
        <f t="shared" si="3"/>
        <v>0.00042560286061300856</v>
      </c>
      <c r="Q24" s="27">
        <f t="shared" si="4"/>
        <v>40813.02321</v>
      </c>
    </row>
    <row r="25" spans="1:17" ht="12.75">
      <c r="A25" s="30" t="s">
        <v>49</v>
      </c>
      <c r="B25" s="29" t="e">
        <v>#REF!</v>
      </c>
      <c r="C25" s="30">
        <v>55963.3692</v>
      </c>
      <c r="D25" s="30">
        <v>0.0007</v>
      </c>
      <c r="E25" s="1">
        <f t="shared" si="0"/>
        <v>8140.163104816686</v>
      </c>
      <c r="F25" s="1">
        <f t="shared" si="1"/>
        <v>8140</v>
      </c>
      <c r="G25" s="1">
        <f t="shared" si="2"/>
        <v>0.08959999999933643</v>
      </c>
      <c r="J25" s="1">
        <f>+G25</f>
        <v>0.08959999999933643</v>
      </c>
      <c r="O25" s="1">
        <f t="shared" si="3"/>
        <v>-0.0030928315544775375</v>
      </c>
      <c r="Q25" s="27">
        <f t="shared" si="4"/>
        <v>40944.8692</v>
      </c>
    </row>
    <row r="26" spans="1:17" ht="12.75">
      <c r="A26" s="31" t="s">
        <v>50</v>
      </c>
      <c r="B26" s="32" t="s">
        <v>51</v>
      </c>
      <c r="C26" s="33">
        <v>58095.42509000003</v>
      </c>
      <c r="D26" s="33">
        <v>0.0003</v>
      </c>
      <c r="E26" s="1">
        <f t="shared" si="0"/>
        <v>12021.285706484201</v>
      </c>
      <c r="F26" s="1">
        <f t="shared" si="1"/>
        <v>12021.5</v>
      </c>
      <c r="G26" s="1">
        <f t="shared" si="2"/>
        <v>-0.11771999996562954</v>
      </c>
      <c r="I26" s="1">
        <f>+G26</f>
        <v>-0.11771999996562954</v>
      </c>
      <c r="O26" s="1">
        <f t="shared" si="3"/>
        <v>-0.05999617814686917</v>
      </c>
      <c r="Q26" s="27">
        <f t="shared" si="4"/>
        <v>43076.92509000003</v>
      </c>
    </row>
    <row r="27" spans="1:17" ht="12.75">
      <c r="A27" s="31" t="s">
        <v>50</v>
      </c>
      <c r="B27" s="32" t="s">
        <v>51</v>
      </c>
      <c r="C27" s="33">
        <v>58095.42579999985</v>
      </c>
      <c r="D27" s="33">
        <v>0.0004</v>
      </c>
      <c r="E27" s="1">
        <f t="shared" si="0"/>
        <v>12021.286998943913</v>
      </c>
      <c r="F27" s="1">
        <f t="shared" si="1"/>
        <v>12021.5</v>
      </c>
      <c r="G27" s="1">
        <f t="shared" si="2"/>
        <v>-0.1170100001472747</v>
      </c>
      <c r="I27" s="1">
        <f>+G27</f>
        <v>-0.1170100001472747</v>
      </c>
      <c r="O27" s="1">
        <f t="shared" si="3"/>
        <v>-0.05999617814686917</v>
      </c>
      <c r="Q27" s="27">
        <f t="shared" si="4"/>
        <v>43076.92579999985</v>
      </c>
    </row>
    <row r="28" spans="1:17" ht="12.75">
      <c r="A28" s="31" t="s">
        <v>50</v>
      </c>
      <c r="B28" s="32" t="s">
        <v>51</v>
      </c>
      <c r="C28" s="33">
        <v>58095.42590000015</v>
      </c>
      <c r="D28" s="33">
        <v>0.0004</v>
      </c>
      <c r="E28" s="1">
        <f t="shared" si="0"/>
        <v>12021.287180981077</v>
      </c>
      <c r="F28" s="1">
        <f t="shared" si="1"/>
        <v>12021.5</v>
      </c>
      <c r="G28" s="1">
        <f t="shared" si="2"/>
        <v>-0.11690999985148665</v>
      </c>
      <c r="I28" s="1">
        <f>+G28</f>
        <v>-0.11690999985148665</v>
      </c>
      <c r="O28" s="1">
        <f t="shared" si="3"/>
        <v>-0.05999617814686917</v>
      </c>
      <c r="Q28" s="27">
        <f t="shared" si="4"/>
        <v>43076.92590000015</v>
      </c>
    </row>
    <row r="29" spans="1:17" ht="12.75">
      <c r="A29" s="31" t="s">
        <v>50</v>
      </c>
      <c r="B29" s="32" t="s">
        <v>51</v>
      </c>
      <c r="C29" s="33">
        <v>58095.426260000095</v>
      </c>
      <c r="D29" s="33">
        <v>0.0005</v>
      </c>
      <c r="E29" s="1">
        <f t="shared" si="0"/>
        <v>12021.287836312835</v>
      </c>
      <c r="F29" s="1">
        <f t="shared" si="1"/>
        <v>12021.5</v>
      </c>
      <c r="G29" s="1">
        <f t="shared" si="2"/>
        <v>-0.11654999990423676</v>
      </c>
      <c r="I29" s="1">
        <f>+G29</f>
        <v>-0.11654999990423676</v>
      </c>
      <c r="O29" s="1">
        <f t="shared" si="3"/>
        <v>-0.05999617814686917</v>
      </c>
      <c r="Q29" s="27">
        <f t="shared" si="4"/>
        <v>43076.926260000095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2022-11-24T04:08:32Z</dcterms:modified>
  <cp:category/>
  <cp:version/>
  <cp:contentType/>
  <cp:contentStatus/>
</cp:coreProperties>
</file>