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<sst xmlns="http://schemas.openxmlformats.org/spreadsheetml/2006/main" count="53" uniqueCount="48">
  <si>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NT UMa / GSC 4380-1811</t>
  </si>
  <si>
    <t>UMa</t>
  </si>
  <si>
    <t>EA</t>
  </si>
  <si>
    <t>IBVS 5686 Eph.</t>
  </si>
  <si>
    <t>IBVS 5686</t>
  </si>
  <si>
    <t>G4380-1811_UMa.xls</t>
  </si>
  <si>
    <t>System Type: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</si>
  <si>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</si>
  <si>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</si>
  <si>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</si>
  <si>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</si>
  <si>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</si>
  <si>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</si>
  <si>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</si>
  <si>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</si>
  <si>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</si>
  <si>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</si>
  <si>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</si>
  <si>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</si>
  <si>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</si>
  <si>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</si>
  <si>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</si>
  <si>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</si>
  <si>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</si>
  <si>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</si>
  <si>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</si>
  <si>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</si>
  <si>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</si>
  <si>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</si>
  <si>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</si>
  <si>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</si>
  <si>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</si>
  <si>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</si>
  <si>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</si>
  <si>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</si>
  <si>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</si>
  <si>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</si>
  <si>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</si>
  <si>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</si>
  <si>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</si>
  <si>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</si>
  <si>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</si>
  <si>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</si>
  <si>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</si>
  <si>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</si>
  <si>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OEJV 0179</t>
  </si>
  <si>
    <t>I</t>
  </si>
  <si>
    <t>OEJV 0211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</si>
</sst>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7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165" fontId="8" fillId="0" borderId="0" xfId="0" applyNumberFormat="1" applyFont="1" applyAlignment="1">
      <alignment vertical="top"/>
    </xf>
    <xf numFmtId="0" fontId="3" fillId="0" borderId="14" xfId="0" applyFont="1" applyBorder="1" applyAlignment="1">
      <alignment horizontal="center"/>
    </xf>
    <xf numFmtId="166" fontId="0" fillId="0" borderId="0" xfId="0" applyNumberFormat="1" applyAlignment="1">
      <alignment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left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775"/>
          <c:w val="0.911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axId val="54182647"/>
        <c:axId val="17881776"/>
      </c:scatterChart>
      <c:val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At val="0"/>
        <c:crossBetween val="midCat"/>
        <c:dispUnits/>
      </c:valAx>
      <c:valAx>
        <c:axId val="1788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5"/>
          <c:y val="0.92275"/>
          <c:w val="0.59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18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848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 s="3"/>
      <c r="F1" s="4" t="s">
        <v>1</v>
      </c>
      <c r="G1" s="3" t="s">
        <v>2</v>
      </c>
      <c r="H1" s="5" t="s">
        <v>3</v>
      </c>
      <c r="I1" s="6">
        <v>51520.823000000004</v>
      </c>
      <c r="J1" s="6">
        <v>1.66439</v>
      </c>
      <c r="K1" s="7" t="s">
        <v>4</v>
      </c>
      <c r="L1" s="8" t="s">
        <v>5</v>
      </c>
    </row>
    <row r="2" spans="1:4" ht="12.75">
      <c r="A2" s="1" t="s">
        <v>6</v>
      </c>
      <c r="B2" s="1" t="s">
        <v>2</v>
      </c>
      <c r="C2" s="9"/>
      <c r="D2" s="9"/>
    </row>
    <row r="4" spans="1:4" ht="12.75">
      <c r="A4" s="10" t="s">
        <v>3</v>
      </c>
      <c r="C4" s="11">
        <v>51520.823000000004</v>
      </c>
      <c r="D4" s="12">
        <v>1.66439</v>
      </c>
    </row>
    <row r="5" spans="1:4" ht="12.75">
      <c r="A5" s="13" t="s">
        <v>7</v>
      </c>
      <c r="B5"/>
      <c r="C5" s="14">
        <v>-9.5</v>
      </c>
      <c r="D5" t="s">
        <v>8</v>
      </c>
    </row>
    <row r="6" ht="12.75">
      <c r="A6" s="15" t="s">
        <v>9</v>
      </c>
    </row>
    <row r="7" spans="1:3" ht="12.75">
      <c r="A7" s="1" t="s">
        <v>10</v>
      </c>
      <c r="C7" s="1">
        <f>+C4</f>
        <v>51520.823000000004</v>
      </c>
    </row>
    <row r="8" spans="1:3" ht="12.75">
      <c r="A8" s="1" t="s">
        <v>11</v>
      </c>
      <c r="C8" s="1">
        <f>+D4</f>
        <v>1.66439</v>
      </c>
    </row>
    <row r="9" spans="1:4" ht="12.75">
      <c r="A9" s="16" t="s">
        <v>12</v>
      </c>
      <c r="B9" s="17">
        <v>21</v>
      </c>
      <c r="C9" s="18" t="str">
        <f>"F"&amp;B9</f>
        <v>F21</v>
      </c>
      <c r="D9" s="19" t="str">
        <f>"G"&amp;B9</f>
        <v>G21</v>
      </c>
    </row>
    <row r="10" spans="1:5" ht="12.75">
      <c r="A10"/>
      <c r="B10"/>
      <c r="C10" s="20" t="s">
        <v>13</v>
      </c>
      <c r="D10" s="20" t="s">
        <v>14</v>
      </c>
      <c r="E10"/>
    </row>
    <row r="11" spans="1:5" ht="12.75">
      <c r="A11" t="s">
        <v>15</v>
      </c>
      <c r="B11"/>
      <c r="C11" s="21">
        <f ca="1">INTERCEPT(INDIRECT($D$9):G992,INDIRECT($C$9):F992)</f>
        <v>-2.121093846699229E-05</v>
      </c>
      <c r="D11" s="22"/>
      <c r="E11"/>
    </row>
    <row r="12" spans="1:5" ht="12.75">
      <c r="A12" t="s">
        <v>16</v>
      </c>
      <c r="B12"/>
      <c r="C12" s="21">
        <f ca="1">SLOPE(INDIRECT($D$9):G992,INDIRECT($C$9):F992)</f>
        <v>-1.8077710612895072E-05</v>
      </c>
      <c r="D12" s="22"/>
      <c r="E12"/>
    </row>
    <row r="13" spans="1:3" ht="12.75">
      <c r="A13" t="s">
        <v>17</v>
      </c>
      <c r="B13"/>
      <c r="C13" s="22" t="s">
        <v>18</v>
      </c>
    </row>
    <row r="14" spans="1:3" ht="12.75">
      <c r="A14"/>
      <c r="B14"/>
      <c r="C14"/>
    </row>
    <row r="15" spans="1:6" ht="12.75">
      <c r="A15" s="23" t="s">
        <v>19</v>
      </c>
      <c r="B15"/>
      <c r="C15" s="24">
        <f>(C7+C11)+(C8+C12)*INT(MAX(F21:F3533))</f>
        <v>57780.525778519455</v>
      </c>
      <c r="E15" s="25" t="s">
        <v>20</v>
      </c>
      <c r="F15" s="26">
        <v>1</v>
      </c>
    </row>
    <row r="16" spans="1:6" ht="12.75">
      <c r="A16" s="23" t="s">
        <v>21</v>
      </c>
      <c r="B16"/>
      <c r="C16" s="24">
        <f>+C8+C12</f>
        <v>1.6643719222893871</v>
      </c>
      <c r="E16" s="25" t="s">
        <v>22</v>
      </c>
      <c r="F16" s="27">
        <f ca="1">NOW()+15018.5+$C$5/24</f>
        <v>59907.741001504626</v>
      </c>
    </row>
    <row r="17" spans="1:6" ht="12.75">
      <c r="A17" s="25" t="s">
        <v>23</v>
      </c>
      <c r="B17"/>
      <c r="C17">
        <f>COUNT(C21:C2191)</f>
        <v>3</v>
      </c>
      <c r="E17" s="25" t="s">
        <v>24</v>
      </c>
      <c r="F17" s="21">
        <f>ROUND(2*(F16-$C$7)/$C$8,0)/2+F15</f>
        <v>5040</v>
      </c>
    </row>
    <row r="18" spans="1:6" ht="12.75">
      <c r="A18" s="23" t="s">
        <v>25</v>
      </c>
      <c r="B18"/>
      <c r="C18" s="28">
        <f>+C15</f>
        <v>57780.525778519455</v>
      </c>
      <c r="D18" s="29">
        <f>+C16</f>
        <v>1.6643719222893871</v>
      </c>
      <c r="E18" s="25" t="s">
        <v>26</v>
      </c>
      <c r="F18" s="19">
        <f>ROUND(2*(F16-$C$15)/$C$16,0)/2+F15</f>
        <v>1279</v>
      </c>
    </row>
    <row r="19" spans="5:6" ht="12.75">
      <c r="E19" s="25" t="s">
        <v>27</v>
      </c>
      <c r="F19" s="30">
        <f>+$C$15+$C$16*F18-15018.5-$C$5/24</f>
        <v>44891.153300460915</v>
      </c>
    </row>
    <row r="20" spans="1:17" ht="12.75">
      <c r="A20" s="20" t="s">
        <v>28</v>
      </c>
      <c r="B20" s="20" t="s">
        <v>29</v>
      </c>
      <c r="C20" s="20" t="s">
        <v>30</v>
      </c>
      <c r="D20" s="20" t="s">
        <v>31</v>
      </c>
      <c r="E20" s="20" t="s">
        <v>32</v>
      </c>
      <c r="F20" s="20" t="s">
        <v>33</v>
      </c>
      <c r="G20" s="20" t="s">
        <v>34</v>
      </c>
      <c r="H20" s="31" t="s">
        <v>35</v>
      </c>
      <c r="I20" s="31" t="s">
        <v>36</v>
      </c>
      <c r="J20" s="31" t="s">
        <v>37</v>
      </c>
      <c r="K20" s="31" t="s">
        <v>38</v>
      </c>
      <c r="L20" s="31" t="s">
        <v>39</v>
      </c>
      <c r="M20" s="31" t="s">
        <v>40</v>
      </c>
      <c r="N20" s="31" t="s">
        <v>41</v>
      </c>
      <c r="O20" s="31" t="s">
        <v>42</v>
      </c>
      <c r="P20" s="31" t="s">
        <v>43</v>
      </c>
      <c r="Q20" s="20" t="s">
        <v>44</v>
      </c>
    </row>
    <row r="21" spans="1:17" ht="12.75">
      <c r="A21" s="1" t="s">
        <v>4</v>
      </c>
      <c r="C21" s="9">
        <v>51520.823000000004</v>
      </c>
      <c r="D21" s="9" t="s">
        <v>18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I21" s="1">
        <f>+G21</f>
        <v>0</v>
      </c>
      <c r="O21" s="1">
        <f>+C$11+C$12*$F21</f>
        <v>-2.121093846699229E-05</v>
      </c>
      <c r="Q21" s="32">
        <f>+C21-15018.5</f>
        <v>36502.323000000004</v>
      </c>
    </row>
    <row r="22" spans="1:18" ht="12.75">
      <c r="A22" s="33" t="s">
        <v>45</v>
      </c>
      <c r="B22" s="34" t="s">
        <v>46</v>
      </c>
      <c r="C22" s="35">
        <v>57091.47561</v>
      </c>
      <c r="D22" s="35">
        <v>0.0002</v>
      </c>
      <c r="E22" s="1">
        <f>+(C22-C$7)/C$8</f>
        <v>3346.9635181658127</v>
      </c>
      <c r="F22" s="1">
        <f>ROUND(2*E22,0)/2</f>
        <v>3347</v>
      </c>
      <c r="G22" s="1">
        <f>+C22-(C$7+F22*C$8)</f>
        <v>-0.060720000001310837</v>
      </c>
      <c r="K22" s="1">
        <f>+G22</f>
        <v>-0.060720000001310837</v>
      </c>
      <c r="O22" s="1">
        <f>+C$11+C$12*$F22</f>
        <v>-0.060527308359826795</v>
      </c>
      <c r="Q22" s="32">
        <f>+C22-15018.5</f>
        <v>42072.97561</v>
      </c>
      <c r="R22" s="1">
        <f>IF(ABS(C22-C21)&lt;0.00001,1,"")</f>
      </c>
    </row>
    <row r="23" spans="1:17" ht="12.75">
      <c r="A23" s="36" t="s">
        <v>47</v>
      </c>
      <c r="B23" s="37" t="s">
        <v>46</v>
      </c>
      <c r="C23" s="38">
        <v>57780.525950000156</v>
      </c>
      <c r="D23" s="38">
        <v>0.0002</v>
      </c>
      <c r="E23" s="1">
        <f>+(C23-C$7)/C$8</f>
        <v>3760.9592403223714</v>
      </c>
      <c r="F23" s="1">
        <f>ROUND(2*E23,0)/2</f>
        <v>3761</v>
      </c>
      <c r="G23" s="1">
        <f>+C23-(C$7+F23*C$8)</f>
        <v>-0.06783999985054834</v>
      </c>
      <c r="K23" s="1">
        <f>+G23</f>
        <v>-0.06783999985054834</v>
      </c>
      <c r="O23" s="1">
        <f>+C$11+C$12*$F23</f>
        <v>-0.06801148055356536</v>
      </c>
      <c r="Q23" s="32">
        <f>+C23-15018.5</f>
        <v>42762.025950000156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2022-11-24T04:47:02Z</dcterms:modified>
  <cp:category/>
  <cp:version/>
  <cp:contentType/>
  <cp:contentStatus/>
</cp:coreProperties>
</file>