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" sheetId="1" r:id="rId1"/>
    <sheet name="A (old)" sheetId="2" r:id="rId2"/>
    <sheet name="BAV" sheetId="3" r:id="rId3"/>
  </sheets>
  <definedNames/>
  <calcPr fullCalcOnLoad="1"/>
</workbook>
</file>

<file path=xl/sharedStrings.xml><?xml version="1.0" encoding="utf-8"?>
<sst xmlns="http://schemas.openxmlformats.org/spreadsheetml/2006/main" count="634" uniqueCount="309">
  <si>
    <t>BK Vul</t>
  </si>
  <si>
    <t>System Type:</t>
  </si>
  <si>
    <t>EW/KW</t>
  </si>
  <si>
    <t>GCVS 4 Eph.</t>
  </si>
  <si>
    <t>--- Working ----</t>
  </si>
  <si>
    <t>Epoch =</t>
  </si>
  <si>
    <t>Period =</t>
  </si>
  <si>
    <t>Linear</t>
  </si>
  <si>
    <t>Quadratic</t>
  </si>
  <si>
    <t>LS Intercept =</t>
  </si>
  <si>
    <t>LS Slope =</t>
  </si>
  <si>
    <t>LS Quadr term =</t>
  </si>
  <si>
    <t>na</t>
  </si>
  <si>
    <t>Sum diff² =</t>
  </si>
  <si>
    <t>New epoch =</t>
  </si>
  <si>
    <t>New Period =</t>
  </si>
  <si>
    <t>New Ephemeris =</t>
  </si>
  <si>
    <t>Source</t>
  </si>
  <si>
    <t>Typ</t>
  </si>
  <si>
    <t>ToM</t>
  </si>
  <si>
    <t>error</t>
  </si>
  <si>
    <t>n'</t>
  </si>
  <si>
    <t>n</t>
  </si>
  <si>
    <t>O-C</t>
  </si>
  <si>
    <t>GCVS 4</t>
  </si>
  <si>
    <t>BBSAG</t>
  </si>
  <si>
    <t>IBVS</t>
  </si>
  <si>
    <t>Nelson</t>
  </si>
  <si>
    <t>S4</t>
  </si>
  <si>
    <t>S5</t>
  </si>
  <si>
    <t>Misc</t>
  </si>
  <si>
    <t>Lin Fit</t>
  </si>
  <si>
    <t>Q. Fit</t>
  </si>
  <si>
    <t>Date</t>
  </si>
  <si>
    <t>BBSAG Bull.39</t>
  </si>
  <si>
    <t>Diethelm R</t>
  </si>
  <si>
    <t>B</t>
  </si>
  <si>
    <t>IBVS 2344</t>
  </si>
  <si>
    <t>II</t>
  </si>
  <si>
    <t>IBVS 5484</t>
  </si>
  <si>
    <t>IBVS 4383</t>
  </si>
  <si>
    <t>I</t>
  </si>
  <si>
    <t>BBSAG Bull.114</t>
  </si>
  <si>
    <t>Blaettler E</t>
  </si>
  <si>
    <t>IBVS 5263</t>
  </si>
  <si>
    <t>IBVS 5296</t>
  </si>
  <si>
    <t>IBVS 5643</t>
  </si>
  <si>
    <t>IBVS 5502</t>
  </si>
  <si>
    <t>RHN 2006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</si>
  <si>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</si>
  <si>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</si>
  <si>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</si>
  <si>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</si>
  <si>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</si>
  <si>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</si>
  <si>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</si>
  <si>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</si>
  <si>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</si>
  <si>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</si>
  <si>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</si>
  <si>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2443755.398 </t>
  </si>
  <si>
    <t> 03.09.1978 21:33 </t>
  </si>
  <si>
    <t> 0.002 </t>
  </si>
  <si>
    <t>V </t>
  </si>
  <si>
    <t> R.Diethelm </t>
  </si>
  <si>
    <t> BBS 39 </t>
  </si>
  <si>
    <t>2449545.4104 </t>
  </si>
  <si>
    <t> 11.07.1994 21:50 </t>
  </si>
  <si>
    <t> 0.1096 </t>
  </si>
  <si>
    <t>E </t>
  </si>
  <si>
    <t>o</t>
  </si>
  <si>
    <t> W.Moschner </t>
  </si>
  <si>
    <t>BAVM 158 </t>
  </si>
  <si>
    <t>2449645.3930 </t>
  </si>
  <si>
    <t> 19.10.1994 21:25 </t>
  </si>
  <si>
    <t> -0.1247 </t>
  </si>
  <si>
    <t>2449646.3054 </t>
  </si>
  <si>
    <t> 20.10.1994 19:19 </t>
  </si>
  <si>
    <t> -0.1192 </t>
  </si>
  <si>
    <t>2449905.4633 </t>
  </si>
  <si>
    <t> 06.07.1995 23:07 </t>
  </si>
  <si>
    <t> 0.1073 </t>
  </si>
  <si>
    <t>BAVM 91 </t>
  </si>
  <si>
    <t>2450392.2570 </t>
  </si>
  <si>
    <t> 04.11.1996 18:10 </t>
  </si>
  <si>
    <t> -0.1258 </t>
  </si>
  <si>
    <t>?</t>
  </si>
  <si>
    <t> E.Blättler </t>
  </si>
  <si>
    <t> BBS 114 </t>
  </si>
  <si>
    <t>2450653.4538 </t>
  </si>
  <si>
    <t> 23.07.1997 22:53 </t>
  </si>
  <si>
    <t> -0.1277 </t>
  </si>
  <si>
    <t>2451404.6176 </t>
  </si>
  <si>
    <t> 14.08.1999 02:49 </t>
  </si>
  <si>
    <t> 0.0898 </t>
  </si>
  <si>
    <t> M.Zejda </t>
  </si>
  <si>
    <t>IBVS 5263 </t>
  </si>
  <si>
    <t>2451413.4598 </t>
  </si>
  <si>
    <t> 22.08.1999 23:02 </t>
  </si>
  <si>
    <t> 0.0893 </t>
  </si>
  <si>
    <t> F.Agerer </t>
  </si>
  <si>
    <t>2451782.35249 </t>
  </si>
  <si>
    <t> 25.08.2000 20:27 </t>
  </si>
  <si>
    <t> 0.08418 </t>
  </si>
  <si>
    <t>C </t>
  </si>
  <si>
    <t> J.Šafár </t>
  </si>
  <si>
    <t>OEJV 0074 </t>
  </si>
  <si>
    <t>2452137.4143 </t>
  </si>
  <si>
    <t> 15.08.2001 21:56 </t>
  </si>
  <si>
    <t> 0.0790 </t>
  </si>
  <si>
    <t>BAVM 152 </t>
  </si>
  <si>
    <t>2452448.4886 </t>
  </si>
  <si>
    <t> 22.06.2002 23:43 </t>
  </si>
  <si>
    <t> 0.0729 </t>
  </si>
  <si>
    <t>-I</t>
  </si>
  <si>
    <t> K.Poschinger </t>
  </si>
  <si>
    <t>2452831.4314 </t>
  </si>
  <si>
    <t> 10.07.2003 22:21 </t>
  </si>
  <si>
    <t>61886.5</t>
  </si>
  <si>
    <t> 0.0602 </t>
  </si>
  <si>
    <t> K. &amp; M. Rätz </t>
  </si>
  <si>
    <t>BAVM 172 </t>
  </si>
  <si>
    <t>2452833.4738 </t>
  </si>
  <si>
    <t> 12.07.2003 23:22 </t>
  </si>
  <si>
    <t>61891</t>
  </si>
  <si>
    <t> 0.0620 </t>
  </si>
  <si>
    <t> Moschner&amp;Frank </t>
  </si>
  <si>
    <t>2452874.51410 </t>
  </si>
  <si>
    <t> 23.08.2003 00:20 </t>
  </si>
  <si>
    <t>61981.5</t>
  </si>
  <si>
    <t> 0.06329 </t>
  </si>
  <si>
    <t> Motl et al. </t>
  </si>
  <si>
    <t>2452959.5348 </t>
  </si>
  <si>
    <t> 16.11.2003 00:50 </t>
  </si>
  <si>
    <t>62169</t>
  </si>
  <si>
    <t> 0.0584 </t>
  </si>
  <si>
    <t> S.Dvorak </t>
  </si>
  <si>
    <t>IBVS 5502 </t>
  </si>
  <si>
    <t>2453209.3920 </t>
  </si>
  <si>
    <t> 22.07.2004 21:24 </t>
  </si>
  <si>
    <t>62720</t>
  </si>
  <si>
    <t> 0.0536 </t>
  </si>
  <si>
    <t>BAVM 173 </t>
  </si>
  <si>
    <t>2453216.4218 </t>
  </si>
  <si>
    <t> 29.07.2004 22:07 </t>
  </si>
  <si>
    <t>62735.5</t>
  </si>
  <si>
    <t> 0.0546 </t>
  </si>
  <si>
    <t>2453221.4088 </t>
  </si>
  <si>
    <t> 03.08.2004 21:48 </t>
  </si>
  <si>
    <t>62746.5</t>
  </si>
  <si>
    <t> 0.0534 </t>
  </si>
  <si>
    <t>2453228.4430 </t>
  </si>
  <si>
    <t> 10.08.2004 22:37 </t>
  </si>
  <si>
    <t>62762</t>
  </si>
  <si>
    <t> 0.0589 </t>
  </si>
  <si>
    <t>2453233.4247 </t>
  </si>
  <si>
    <t> 15.08.2004 22:11 </t>
  </si>
  <si>
    <t>62773</t>
  </si>
  <si>
    <t> 0.0524 </t>
  </si>
  <si>
    <t>2453242.4970 </t>
  </si>
  <si>
    <t> 24.08.2004 23:55 </t>
  </si>
  <si>
    <t>62793</t>
  </si>
  <si>
    <t> 0.0553 </t>
  </si>
  <si>
    <t>2453250.4301 </t>
  </si>
  <si>
    <t> 01.09.2004 22:19 </t>
  </si>
  <si>
    <t>62810.5</t>
  </si>
  <si>
    <t> 0.0527 </t>
  </si>
  <si>
    <t>2453253.3782 </t>
  </si>
  <si>
    <t> 04.09.2004 21:04 </t>
  </si>
  <si>
    <t>62817</t>
  </si>
  <si>
    <t> 0.0532 </t>
  </si>
  <si>
    <t>2453254.5135 </t>
  </si>
  <si>
    <t> 06.09.2004 00:19 </t>
  </si>
  <si>
    <t>62819.5</t>
  </si>
  <si>
    <t> 0.0548 </t>
  </si>
  <si>
    <t>2453255.4191 </t>
  </si>
  <si>
    <t> 06.09.2004 22:03 </t>
  </si>
  <si>
    <t>62821.5</t>
  </si>
  <si>
    <t> 0.0535 </t>
  </si>
  <si>
    <t>2453256.5519 </t>
  </si>
  <si>
    <t> 08.09.2004 01:14 </t>
  </si>
  <si>
    <t>62824</t>
  </si>
  <si>
    <t> 0.0526 </t>
  </si>
  <si>
    <t>2453257.4595 </t>
  </si>
  <si>
    <t> 08.09.2004 23:01 </t>
  </si>
  <si>
    <t>62826</t>
  </si>
  <si>
    <t> 0.0533 </t>
  </si>
  <si>
    <t>2453267.4360 </t>
  </si>
  <si>
    <t> 18.09.2004 22:27 </t>
  </si>
  <si>
    <t>62848</t>
  </si>
  <si>
    <t>2453282.3983 </t>
  </si>
  <si>
    <t> 03.10.2004 21:33 </t>
  </si>
  <si>
    <t>62881</t>
  </si>
  <si>
    <t> 0.0512 </t>
  </si>
  <si>
    <t>2453284.4397 </t>
  </si>
  <si>
    <t> 05.10.2004 22:33 </t>
  </si>
  <si>
    <t>62885.5</t>
  </si>
  <si>
    <t> 0.0520 </t>
  </si>
  <si>
    <t>2453601.4088 </t>
  </si>
  <si>
    <t> 18.08.2005 21:48 </t>
  </si>
  <si>
    <t>63584.5</t>
  </si>
  <si>
    <t> 0.0456 </t>
  </si>
  <si>
    <t>BAVM 178 </t>
  </si>
  <si>
    <t>2453648.3420 </t>
  </si>
  <si>
    <t> 04.10.2005 20:12 </t>
  </si>
  <si>
    <t>63688</t>
  </si>
  <si>
    <t> 0.0446 </t>
  </si>
  <si>
    <t> v.Poschinger </t>
  </si>
  <si>
    <t>2453927.4440 </t>
  </si>
  <si>
    <t> 10.07.2006 22:39 </t>
  </si>
  <si>
    <t>64303.5</t>
  </si>
  <si>
    <t> 0.0359 </t>
  </si>
  <si>
    <t> K.&amp; M.Rätz </t>
  </si>
  <si>
    <t>BAVM 186 </t>
  </si>
  <si>
    <t>2453966.4427 </t>
  </si>
  <si>
    <t> 18.08.2006 22:37 </t>
  </si>
  <si>
    <t>64389.5</t>
  </si>
  <si>
    <t> 0.0361 </t>
  </si>
  <si>
    <t>BAVM 183 </t>
  </si>
  <si>
    <t>2454031.7419 </t>
  </si>
  <si>
    <t> 23.10.2006 05:48 </t>
  </si>
  <si>
    <t>64533.5</t>
  </si>
  <si>
    <t> 0.0357 </t>
  </si>
  <si>
    <t>R</t>
  </si>
  <si>
    <t> R.Nelson </t>
  </si>
  <si>
    <t>IBVS 5760 </t>
  </si>
  <si>
    <t>2455120.2701 </t>
  </si>
  <si>
    <t> 15.10.2009 18:28 </t>
  </si>
  <si>
    <t>66934</t>
  </si>
  <si>
    <t> 0.0091 </t>
  </si>
  <si>
    <t>ns</t>
  </si>
  <si>
    <t> Y.Ogmen </t>
  </si>
  <si>
    <t> JAAVSO 38;120 </t>
  </si>
  <si>
    <t>2455388.4951 </t>
  </si>
  <si>
    <t> 10.07.2010 23:52 </t>
  </si>
  <si>
    <t>67525.5</t>
  </si>
  <si>
    <t> 0.0066 </t>
  </si>
  <si>
    <t> V.Pribík </t>
  </si>
  <si>
    <t>OEJV 0137 </t>
  </si>
  <si>
    <t>2455469.6674 </t>
  </si>
  <si>
    <t> 30.09.2010 04:01 </t>
  </si>
  <si>
    <t>67704.5</t>
  </si>
  <si>
    <t> 0.0078 </t>
  </si>
  <si>
    <t>IBVS 5960 </t>
  </si>
  <si>
    <t>2455481.4556 </t>
  </si>
  <si>
    <t> 11.10.2010 22:56 </t>
  </si>
  <si>
    <t>67730.5</t>
  </si>
  <si>
    <t> 0.0058 </t>
  </si>
  <si>
    <t>BAVM 228 </t>
  </si>
  <si>
    <t>2455797.51583 </t>
  </si>
  <si>
    <t> 24.08.2011 00:22 </t>
  </si>
  <si>
    <t> -0.00259 </t>
  </si>
  <si>
    <t>U</t>
  </si>
  <si>
    <t> L.Šmelcer </t>
  </si>
  <si>
    <t>OEJV 0160 </t>
  </si>
  <si>
    <t>2456220.36574 </t>
  </si>
  <si>
    <t> 19.10.2012 20:46 </t>
  </si>
  <si>
    <t> -0.01346 </t>
  </si>
  <si>
    <t>2456542.32195 </t>
  </si>
  <si>
    <t> 06.09.2013 19:43 </t>
  </si>
  <si>
    <t> -0.02095 </t>
  </si>
  <si>
    <t>2456542.32284 </t>
  </si>
  <si>
    <t> 06.09.2013 19:44 </t>
  </si>
  <si>
    <t> -0.02006 </t>
  </si>
  <si>
    <t>2452209.2883 </t>
  </si>
  <si>
    <t> 26.10.2001 18:55 </t>
  </si>
  <si>
    <t> 0.0780 </t>
  </si>
  <si>
    <t> BBS 127 </t>
  </si>
  <si>
    <t>2455083.3166 </t>
  </si>
  <si>
    <t> 08.09.2009 19:35 </t>
  </si>
  <si>
    <t>66852.5</t>
  </si>
  <si>
    <t> 0.0134 </t>
  </si>
  <si>
    <t>2455431.3458 </t>
  </si>
  <si>
    <t> 22.08.2010 20:17 </t>
  </si>
  <si>
    <t>67620</t>
  </si>
  <si>
    <t> 0.0044 </t>
  </si>
  <si>
    <t>2455431.3460 </t>
  </si>
  <si>
    <t> 22.08.2010 20:18 </t>
  </si>
  <si>
    <t> 0.0046 </t>
  </si>
  <si>
    <t>2455807.4919 </t>
  </si>
  <si>
    <t> 02.09.2011 23:48 </t>
  </si>
  <si>
    <t> -0.0029 </t>
  </si>
  <si>
    <t>BAVM 225 </t>
  </si>
  <si>
    <t>BK Vul / GSC 02195-02372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</si>
  <si>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</si>
  <si>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</si>
  <si>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</si>
  <si>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</si>
  <si>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</si>
  <si>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# of data points:</t>
  </si>
  <si>
    <t>Old Cycle</t>
  </si>
  <si>
    <t>New Cycle</t>
  </si>
  <si>
    <t>Next ToM</t>
  </si>
  <si>
    <t>OEJV</t>
  </si>
  <si>
    <t>BAD?</t>
  </si>
  <si>
    <t>OEJV 0074</t>
  </si>
  <si>
    <t>IBVS 5657</t>
  </si>
  <si>
    <t>IBVS 5731</t>
  </si>
  <si>
    <t>IBVS 5802</t>
  </si>
  <si>
    <t>IBVS 5761</t>
  </si>
  <si>
    <t>IBVS 5760</t>
  </si>
  <si>
    <t>OEJV 0137</t>
  </si>
  <si>
    <t>JAVSO..38..183</t>
  </si>
  <si>
    <t>IBVS 5960</t>
  </si>
  <si>
    <t>IBVS 6048</t>
  </si>
  <si>
    <t>OEJV 0160</t>
  </si>
  <si>
    <t>OEJV 0168</t>
  </si>
  <si>
    <t>OEJV 0179</t>
  </si>
  <si>
    <t>OEJV 0211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</si>
</sst>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"/>
    <numFmt numFmtId="166" formatCode="m/d/yyyy\ h:mm"/>
    <numFmt numFmtId="167" formatCode="[$-C09]dddd\,\ d\ mmmm\ yyyy"/>
    <numFmt numFmtId="168" formatCode="d/mm/yyyy;@"/>
  </numFmts>
  <fonts count="53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3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41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Protection="0">
      <alignment vertical="top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0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3" fillId="33" borderId="20" xfId="0" applyFont="1" applyFill="1" applyBorder="1" applyAlignment="1">
      <alignment horizontal="left" vertical="top" wrapText="1" inden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right" vertical="top" wrapText="1"/>
    </xf>
    <xf numFmtId="0" fontId="10" fillId="33" borderId="20" xfId="56" applyNumberFormat="1" applyFont="1" applyFill="1" applyBorder="1" applyAlignment="1" applyProtection="1">
      <alignment horizontal="right" vertical="top" wrapText="1"/>
      <protection/>
    </xf>
    <xf numFmtId="0" fontId="3" fillId="33" borderId="2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6" fontId="6" fillId="0" borderId="0" xfId="0" applyNumberFormat="1" applyFont="1" applyAlignment="1">
      <alignment vertical="top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6" fillId="0" borderId="0" xfId="60" applyFont="1">
      <alignment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 applyAlignment="1">
      <alignment horizontal="left"/>
      <protection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BK Vul - O-C Diagr.</a:t>
            </a:r>
          </a:p>
        </c:rich>
      </c:tx>
      <c:layout>
        <c:manualLayout>
          <c:xMode val="factor"/>
          <c:yMode val="factor"/>
          <c:x val="-0.00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9325"/>
          <c:w val="0.8995"/>
          <c:h val="0.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Active!$H$21:$H$74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Active!$I$21:$I$74</c:f>
              <c:numCache/>
            </c:numRef>
          </c:yVal>
          <c:smooth val="0"/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Active!$J$21:$J$74</c:f>
              <c:numCache/>
            </c:numRef>
          </c:yVal>
          <c:smooth val="0"/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Active!$K$21:$K$74</c:f>
              <c:numCache/>
            </c:numRef>
          </c:yVal>
          <c:smooth val="0"/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Active!$L$21:$L$74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Active!$M$21:$M$74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Active!$N$21:$N$74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Active!$F$21:$F$74</c:f>
              <c:numCache/>
            </c:numRef>
          </c:xVal>
          <c:yVal>
            <c:numRef>
              <c:f>Active!$O$21:$O$74</c:f>
              <c:numCache/>
            </c:numRef>
          </c:yVal>
          <c:smooth val="0"/>
        </c:ser>
        <c:ser>
          <c:idx val="8"/>
          <c:order val="8"/>
          <c:tx>
            <c:strRef>
              <c:f>Active!$Q$20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Active!$U$21:$U$74</c:f>
              <c:numCache/>
            </c:numRef>
          </c:yVal>
          <c:smooth val="0"/>
        </c:ser>
        <c:axId val="9923873"/>
        <c:axId val="22205994"/>
      </c:scatterChart>
      <c:valAx>
        <c:axId val="9923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5994"/>
        <c:crossesAt val="0"/>
        <c:crossBetween val="midCat"/>
        <c:dispUnits/>
      </c:valAx>
      <c:valAx>
        <c:axId val="22205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2387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919"/>
          <c:w val="0.83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BK Vul - O-C Diagr.</a:t>
            </a:r>
          </a:p>
        </c:rich>
      </c:tx>
      <c:layout>
        <c:manualLayout>
          <c:xMode val="factor"/>
          <c:yMode val="factor"/>
          <c:x val="-0.006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9275"/>
          <c:w val="0.8995"/>
          <c:h val="0.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Active!$H$21:$H$74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Active!$I$21:$I$74</c:f>
              <c:numCache/>
            </c:numRef>
          </c:yVal>
          <c:smooth val="0"/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Active!$J$21:$J$74</c:f>
              <c:numCache/>
            </c:numRef>
          </c:yVal>
          <c:smooth val="0"/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Active!$K$21:$K$74</c:f>
              <c:numCache/>
            </c:numRef>
          </c:yVal>
          <c:smooth val="0"/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Active!$L$21:$L$74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Active!$M$21:$M$74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Active!$N$21:$N$74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Active!$F$21:$F$74</c:f>
              <c:numCache/>
            </c:numRef>
          </c:xVal>
          <c:yVal>
            <c:numRef>
              <c:f>Active!$O$21:$O$74</c:f>
              <c:numCache/>
            </c:numRef>
          </c:yVal>
          <c:smooth val="0"/>
        </c:ser>
        <c:ser>
          <c:idx val="8"/>
          <c:order val="8"/>
          <c:tx>
            <c:strRef>
              <c:f>Active!$Q$20</c:f>
              <c:strCache>
                <c:ptCount val="1"/>
                <c:pt idx="0">
                  <c:v>Date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Active!$F$21:$F$74</c:f>
              <c:numCache/>
            </c:numRef>
          </c:xVal>
          <c:yVal>
            <c:numRef>
              <c:f>Active!$U$21:$U$74</c:f>
              <c:numCache/>
            </c:numRef>
          </c:yVal>
          <c:smooth val="0"/>
        </c:ser>
        <c:axId val="65636219"/>
        <c:axId val="53855060"/>
      </c:scatterChart>
      <c:valAx>
        <c:axId val="65636219"/>
        <c:scaling>
          <c:orientation val="minMax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5060"/>
        <c:crossesAt val="0"/>
        <c:crossBetween val="midCat"/>
        <c:dispUnits/>
      </c:valAx>
      <c:valAx>
        <c:axId val="53855060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621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91925"/>
          <c:w val="0.834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BK Vul - O-C Diagr.</a:t>
            </a:r>
          </a:p>
        </c:rich>
      </c:tx>
      <c:layout>
        <c:manualLayout>
          <c:xMode val="factor"/>
          <c:yMode val="factor"/>
          <c:x val="-0.00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96"/>
          <c:w val="0.9015"/>
          <c:h val="0.7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(old)'!$H$21:$H$37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(old)'!$I$21:$I$37</c:f>
              <c:numCache/>
            </c:numRef>
          </c:yVal>
          <c:smooth val="0"/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(old)'!$J$21:$J$37</c:f>
              <c:numCache/>
            </c:numRef>
          </c:yVal>
          <c:smooth val="0"/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(old)'!$K$21:$K$37</c:f>
              <c:numCache/>
            </c:numRef>
          </c:yVal>
          <c:smooth val="0"/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(old)'!$L$21:$L$37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(old)'!$M$21:$M$37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 (old)'!$F$21:$F$37</c:f>
              <c:numCache/>
            </c:numRef>
          </c:xVal>
          <c:yVal>
            <c:numRef>
              <c:f>'A (old)'!$N$21:$N$37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(old)'!$F$21:$F$37</c:f>
              <c:numCache/>
            </c:numRef>
          </c:xVal>
          <c:yVal>
            <c:numRef>
              <c:f>'A (old)'!$O$21:$O$37</c:f>
              <c:numCache/>
            </c:numRef>
          </c:yVal>
          <c:smooth val="0"/>
        </c:ser>
        <c:axId val="14933493"/>
        <c:axId val="183710"/>
      </c:scatterChart>
      <c:valAx>
        <c:axId val="1493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10"/>
        <c:crossesAt val="0"/>
        <c:crossBetween val="midCat"/>
        <c:dispUnits/>
      </c:valAx>
      <c:valAx>
        <c:axId val="18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3349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91875"/>
          <c:w val="0.825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25</xdr:col>
      <xdr:colOff>171450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0753725" y="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0</xdr:row>
      <xdr:rowOff>0</xdr:rowOff>
    </xdr:from>
    <xdr:to>
      <xdr:col>16</xdr:col>
      <xdr:colOff>133350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4562475" y="0"/>
        <a:ext cx="56673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104775</xdr:rowOff>
    </xdr:from>
    <xdr:to>
      <xdr:col>14</xdr:col>
      <xdr:colOff>238125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114675" y="104775"/>
        <a:ext cx="5762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8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bav-astro.de/sfs/BAVM_link.php?BAVMnr=158" TargetMode="External" /><Relationship Id="rId4" Type="http://schemas.openxmlformats.org/officeDocument/2006/relationships/hyperlink" Target="http://www.bav-astro.de/sfs/BAVM_link.php?BAVMnr=91" TargetMode="External" /><Relationship Id="rId5" Type="http://schemas.openxmlformats.org/officeDocument/2006/relationships/hyperlink" Target="http://www.bav-astro.de/sfs/BAVM_link.php?BAVMnr=158" TargetMode="External" /><Relationship Id="rId6" Type="http://schemas.openxmlformats.org/officeDocument/2006/relationships/hyperlink" Target="http://www.konkoly.hu/cgi-bin/IBVS?5263" TargetMode="External" /><Relationship Id="rId7" Type="http://schemas.openxmlformats.org/officeDocument/2006/relationships/hyperlink" Target="http://www.bav-astro.de/sfs/BAVM_link.php?BAVMnr=158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www.bav-astro.de/sfs/BAVM_link.php?BAVMnr=152" TargetMode="External" /><Relationship Id="rId10" Type="http://schemas.openxmlformats.org/officeDocument/2006/relationships/hyperlink" Target="http://www.bav-astro.de/sfs/BAVM_link.php?BAVMnr=158" TargetMode="External" /><Relationship Id="rId11" Type="http://schemas.openxmlformats.org/officeDocument/2006/relationships/hyperlink" Target="http://www.bav-astro.de/sfs/BAVM_link.php?BAVMnr=172" TargetMode="External" /><Relationship Id="rId12" Type="http://schemas.openxmlformats.org/officeDocument/2006/relationships/hyperlink" Target="http://www.bav-astro.de/sfs/BAVM_link.php?BAVMnr=172" TargetMode="External" /><Relationship Id="rId13" Type="http://schemas.openxmlformats.org/officeDocument/2006/relationships/hyperlink" Target="http://var.astro.cz/oejv/issues/oejv0074.pdf" TargetMode="External" /><Relationship Id="rId14" Type="http://schemas.openxmlformats.org/officeDocument/2006/relationships/hyperlink" Target="http://www.konkoly.hu/cgi-bin/IBVS?5502" TargetMode="External" /><Relationship Id="rId15" Type="http://schemas.openxmlformats.org/officeDocument/2006/relationships/hyperlink" Target="http://www.bav-astro.de/sfs/BAVM_link.php?BAVMnr=173" TargetMode="External" /><Relationship Id="rId16" Type="http://schemas.openxmlformats.org/officeDocument/2006/relationships/hyperlink" Target="http://www.bav-astro.de/sfs/BAVM_link.php?BAVMnr=173" TargetMode="External" /><Relationship Id="rId17" Type="http://schemas.openxmlformats.org/officeDocument/2006/relationships/hyperlink" Target="http://www.bav-astro.de/sfs/BAVM_link.php?BAVMnr=173" TargetMode="External" /><Relationship Id="rId18" Type="http://schemas.openxmlformats.org/officeDocument/2006/relationships/hyperlink" Target="http://www.bav-astro.de/sfs/BAVM_link.php?BAVMnr=173" TargetMode="External" /><Relationship Id="rId19" Type="http://schemas.openxmlformats.org/officeDocument/2006/relationships/hyperlink" Target="http://www.bav-astro.de/sfs/BAVM_link.php?BAVMnr=173" TargetMode="External" /><Relationship Id="rId20" Type="http://schemas.openxmlformats.org/officeDocument/2006/relationships/hyperlink" Target="http://www.bav-astro.de/sfs/BAVM_link.php?BAVMnr=173" TargetMode="External" /><Relationship Id="rId21" Type="http://schemas.openxmlformats.org/officeDocument/2006/relationships/hyperlink" Target="http://www.bav-astro.de/sfs/BAVM_link.php?BAVMnr=173" TargetMode="External" /><Relationship Id="rId22" Type="http://schemas.openxmlformats.org/officeDocument/2006/relationships/hyperlink" Target="http://www.bav-astro.de/sfs/BAVM_link.php?BAVMnr=173" TargetMode="External" /><Relationship Id="rId23" Type="http://schemas.openxmlformats.org/officeDocument/2006/relationships/hyperlink" Target="http://www.bav-astro.de/sfs/BAVM_link.php?BAVMnr=173" TargetMode="External" /><Relationship Id="rId24" Type="http://schemas.openxmlformats.org/officeDocument/2006/relationships/hyperlink" Target="http://www.bav-astro.de/sfs/BAVM_link.php?BAVMnr=173" TargetMode="External" /><Relationship Id="rId25" Type="http://schemas.openxmlformats.org/officeDocument/2006/relationships/hyperlink" Target="http://www.bav-astro.de/sfs/BAVM_link.php?BAVMnr=173" TargetMode="External" /><Relationship Id="rId26" Type="http://schemas.openxmlformats.org/officeDocument/2006/relationships/hyperlink" Target="http://www.bav-astro.de/sfs/BAVM_link.php?BAVMnr=173" TargetMode="External" /><Relationship Id="rId27" Type="http://schemas.openxmlformats.org/officeDocument/2006/relationships/hyperlink" Target="http://www.bav-astro.de/sfs/BAVM_link.php?BAVMnr=173" TargetMode="External" /><Relationship Id="rId28" Type="http://schemas.openxmlformats.org/officeDocument/2006/relationships/hyperlink" Target="http://www.bav-astro.de/sfs/BAVM_link.php?BAVMnr=173" TargetMode="External" /><Relationship Id="rId29" Type="http://schemas.openxmlformats.org/officeDocument/2006/relationships/hyperlink" Target="http://www.bav-astro.de/sfs/BAVM_link.php?BAVMnr=173" TargetMode="External" /><Relationship Id="rId30" Type="http://schemas.openxmlformats.org/officeDocument/2006/relationships/hyperlink" Target="http://www.bav-astro.de/sfs/BAVM_link.php?BAVMnr=178" TargetMode="External" /><Relationship Id="rId31" Type="http://schemas.openxmlformats.org/officeDocument/2006/relationships/hyperlink" Target="http://www.bav-astro.de/sfs/BAVM_link.php?BAVMnr=178" TargetMode="External" /><Relationship Id="rId32" Type="http://schemas.openxmlformats.org/officeDocument/2006/relationships/hyperlink" Target="http://www.bav-astro.de/sfs/BAVM_link.php?BAVMnr=186" TargetMode="External" /><Relationship Id="rId33" Type="http://schemas.openxmlformats.org/officeDocument/2006/relationships/hyperlink" Target="http://www.bav-astro.de/sfs/BAVM_link.php?BAVMnr=183" TargetMode="External" /><Relationship Id="rId34" Type="http://schemas.openxmlformats.org/officeDocument/2006/relationships/hyperlink" Target="http://www.konkoly.hu/cgi-bin/IBVS?5760" TargetMode="External" /><Relationship Id="rId35" Type="http://schemas.openxmlformats.org/officeDocument/2006/relationships/hyperlink" Target="http://var.astro.cz/oejv/issues/oejv0137.pdf" TargetMode="External" /><Relationship Id="rId36" Type="http://schemas.openxmlformats.org/officeDocument/2006/relationships/hyperlink" Target="http://www.konkoly.hu/cgi-bin/IBVS?5960" TargetMode="External" /><Relationship Id="rId37" Type="http://schemas.openxmlformats.org/officeDocument/2006/relationships/hyperlink" Target="http://www.bav-astro.de/sfs/BAVM_link.php?BAVMnr=228" TargetMode="External" /><Relationship Id="rId38" Type="http://schemas.openxmlformats.org/officeDocument/2006/relationships/hyperlink" Target="http://var.astro.cz/oejv/issues/oejv0160.pdf" TargetMode="External" /><Relationship Id="rId39" Type="http://schemas.openxmlformats.org/officeDocument/2006/relationships/hyperlink" Target="http://var.astro.cz/oejv/issues/oejv0160.pdf" TargetMode="External" /><Relationship Id="rId40" Type="http://schemas.openxmlformats.org/officeDocument/2006/relationships/hyperlink" Target="http://var.astro.cz/oejv/issues/oejv0160.pdf" TargetMode="External" /><Relationship Id="rId41" Type="http://schemas.openxmlformats.org/officeDocument/2006/relationships/hyperlink" Target="http://var.astro.cz/oejv/issues/oejv0160.pdf" TargetMode="External" /><Relationship Id="rId42" Type="http://schemas.openxmlformats.org/officeDocument/2006/relationships/hyperlink" Target="http://var.astro.cz/oejv/issues/oejv0137.pdf" TargetMode="External" /><Relationship Id="rId43" Type="http://schemas.openxmlformats.org/officeDocument/2006/relationships/hyperlink" Target="http://var.astro.cz/oejv/issues/oejv0137.pdf" TargetMode="External" /><Relationship Id="rId44" Type="http://schemas.openxmlformats.org/officeDocument/2006/relationships/hyperlink" Target="http://var.astro.cz/oejv/issues/oejv0137.pdf" TargetMode="External" /><Relationship Id="rId45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74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3" t="s">
        <v>283</v>
      </c>
    </row>
    <row r="2" spans="1:2" ht="12.75">
      <c r="A2" s="1" t="s">
        <v>1</v>
      </c>
      <c r="B2" s="4" t="s">
        <v>2</v>
      </c>
    </row>
    <row r="4" spans="1:4" ht="12.75">
      <c r="A4" s="5" t="s">
        <v>3</v>
      </c>
      <c r="C4" s="6">
        <v>24767.7</v>
      </c>
      <c r="D4" s="7">
        <v>0.45347</v>
      </c>
    </row>
    <row r="5" spans="1:4" ht="12.75">
      <c r="A5" s="42" t="s">
        <v>284</v>
      </c>
      <c r="B5"/>
      <c r="C5" s="43">
        <v>-9.5</v>
      </c>
      <c r="D5" t="s">
        <v>285</v>
      </c>
    </row>
    <row r="6" spans="1:3" ht="12.75">
      <c r="A6" s="5" t="s">
        <v>4</v>
      </c>
      <c r="C6" s="1">
        <v>32</v>
      </c>
    </row>
    <row r="7" spans="1:3" ht="12.75">
      <c r="A7" s="1" t="s">
        <v>5</v>
      </c>
      <c r="C7" s="1">
        <v>52959.5348</v>
      </c>
    </row>
    <row r="8" spans="1:3" ht="12.75">
      <c r="A8" s="1" t="s">
        <v>6</v>
      </c>
      <c r="C8" s="1">
        <v>0.4534644823684123</v>
      </c>
    </row>
    <row r="9" spans="1:4" ht="12.75">
      <c r="A9" s="44" t="s">
        <v>286</v>
      </c>
      <c r="B9" s="45">
        <v>32</v>
      </c>
      <c r="C9" s="46" t="str">
        <f>"F"&amp;B9</f>
        <v>F32</v>
      </c>
      <c r="D9" s="13" t="str">
        <f>"G"&amp;B9</f>
        <v>G32</v>
      </c>
    </row>
    <row r="10" spans="1:5" ht="12.75">
      <c r="A10"/>
      <c r="B10"/>
      <c r="C10" s="8" t="s">
        <v>7</v>
      </c>
      <c r="D10" s="8" t="s">
        <v>8</v>
      </c>
      <c r="E10"/>
    </row>
    <row r="11" spans="1:5" ht="12.75">
      <c r="A11" t="s">
        <v>9</v>
      </c>
      <c r="B11"/>
      <c r="C11" s="47">
        <f ca="1">INTERCEPT(INDIRECT($D$9):G986,INDIRECT($C$9):F986)</f>
        <v>0.0017246043425726207</v>
      </c>
      <c r="D11" s="2"/>
      <c r="E11"/>
    </row>
    <row r="12" spans="1:5" ht="12.75">
      <c r="A12" t="s">
        <v>10</v>
      </c>
      <c r="B12"/>
      <c r="C12" s="47">
        <f ca="1">SLOPE(INDIRECT($D$9):G986,INDIRECT($C$9):F986)</f>
        <v>-4.748308283930143E-06</v>
      </c>
      <c r="D12" s="2"/>
      <c r="E12"/>
    </row>
    <row r="13" spans="1:3" ht="12.75">
      <c r="A13" t="s">
        <v>11</v>
      </c>
      <c r="B13"/>
      <c r="C13" s="2" t="s">
        <v>12</v>
      </c>
    </row>
    <row r="14" spans="1:3" ht="12.75">
      <c r="A14"/>
      <c r="B14"/>
      <c r="C14"/>
    </row>
    <row r="15" spans="1:6" ht="12.75">
      <c r="A15" s="48" t="s">
        <v>14</v>
      </c>
      <c r="B15"/>
      <c r="C15" s="49">
        <f>(C7+C11)+(C8+C12)*INT(MAX(F21:F3527))</f>
        <v>57994.29995187395</v>
      </c>
      <c r="E15" s="50" t="s">
        <v>287</v>
      </c>
      <c r="F15" s="43">
        <v>1</v>
      </c>
    </row>
    <row r="16" spans="1:6" ht="12.75">
      <c r="A16" s="48" t="s">
        <v>15</v>
      </c>
      <c r="B16"/>
      <c r="C16" s="49">
        <f>+C8+C12</f>
        <v>0.45345973406012835</v>
      </c>
      <c r="E16" s="50" t="s">
        <v>288</v>
      </c>
      <c r="F16" s="47">
        <f ca="1">NOW()+15018.5+$C$5/24</f>
        <v>59907.84185902777</v>
      </c>
    </row>
    <row r="17" spans="1:6" ht="12.75">
      <c r="A17" s="50" t="s">
        <v>289</v>
      </c>
      <c r="B17"/>
      <c r="C17">
        <f>COUNT(C21:C2185)</f>
        <v>54</v>
      </c>
      <c r="E17" s="50" t="s">
        <v>290</v>
      </c>
      <c r="F17" s="47">
        <f>ROUND(2*(F16-$C$7)/$C$8,0)/2+F15</f>
        <v>15323.5</v>
      </c>
    </row>
    <row r="18" spans="1:6" ht="12.75">
      <c r="A18" s="48" t="s">
        <v>16</v>
      </c>
      <c r="B18"/>
      <c r="C18" s="51">
        <f>+C15</f>
        <v>57994.29995187395</v>
      </c>
      <c r="D18" s="52">
        <f>+C16</f>
        <v>0.45345973406012835</v>
      </c>
      <c r="E18" s="50" t="s">
        <v>291</v>
      </c>
      <c r="F18" s="13">
        <f>ROUND(2*(F16-$C$15)/$C$16,0)/2+F15</f>
        <v>4221</v>
      </c>
    </row>
    <row r="19" spans="5:6" ht="12.75">
      <c r="E19" s="50" t="s">
        <v>292</v>
      </c>
      <c r="F19" s="53">
        <f>+$C$15+$C$16*F18-15018.5-$C$5/24</f>
        <v>44890.24932267509</v>
      </c>
    </row>
    <row r="20" spans="1:21" ht="12.75">
      <c r="A20" s="8" t="s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23</v>
      </c>
      <c r="H20" s="10" t="s">
        <v>56</v>
      </c>
      <c r="I20" s="10" t="s">
        <v>59</v>
      </c>
      <c r="J20" s="10" t="s">
        <v>53</v>
      </c>
      <c r="K20" s="10" t="s">
        <v>51</v>
      </c>
      <c r="L20" s="10" t="s">
        <v>293</v>
      </c>
      <c r="M20" s="10" t="s">
        <v>29</v>
      </c>
      <c r="N20" s="10" t="s">
        <v>30</v>
      </c>
      <c r="O20" s="10" t="s">
        <v>31</v>
      </c>
      <c r="P20" s="10" t="s">
        <v>32</v>
      </c>
      <c r="Q20" s="8" t="s">
        <v>33</v>
      </c>
      <c r="U20" s="54" t="s">
        <v>294</v>
      </c>
    </row>
    <row r="21" spans="1:17" ht="12.75">
      <c r="A21" s="1" t="s">
        <v>24</v>
      </c>
      <c r="C21" s="55">
        <v>24767.7</v>
      </c>
      <c r="D21" s="55" t="s">
        <v>12</v>
      </c>
      <c r="E21" s="1">
        <f aca="true" t="shared" si="0" ref="E21:E52">+(C21-C$7)/C$8</f>
        <v>-62169.88517547412</v>
      </c>
      <c r="F21" s="1">
        <f aca="true" t="shared" si="1" ref="F21:F52">ROUND(2*E21,0)/2</f>
        <v>-62170</v>
      </c>
      <c r="G21" s="1">
        <f>+C21-(C$7+F21*C$8)</f>
        <v>0.0520688441938546</v>
      </c>
      <c r="H21" s="1">
        <f>+G21</f>
        <v>0.0520688441938546</v>
      </c>
      <c r="Q21" s="79">
        <f aca="true" t="shared" si="2" ref="Q21:Q52">+C21-15018.5</f>
        <v>9749.2</v>
      </c>
    </row>
    <row r="22" spans="1:17" ht="12.75">
      <c r="A22" s="1" t="s">
        <v>34</v>
      </c>
      <c r="C22" s="55">
        <v>43755.398</v>
      </c>
      <c r="D22" s="55"/>
      <c r="E22" s="1">
        <f t="shared" si="0"/>
        <v>-20297.37092512176</v>
      </c>
      <c r="F22" s="1">
        <f t="shared" si="1"/>
        <v>-20297.5</v>
      </c>
      <c r="I22" s="21">
        <v>0.0021600000036414713</v>
      </c>
      <c r="Q22" s="79">
        <f t="shared" si="2"/>
        <v>28736.898</v>
      </c>
    </row>
    <row r="23" spans="1:17" ht="12.75">
      <c r="A23" s="1" t="s">
        <v>37</v>
      </c>
      <c r="B23" s="2" t="s">
        <v>38</v>
      </c>
      <c r="C23" s="55">
        <v>45211.406</v>
      </c>
      <c r="D23" s="55"/>
      <c r="E23" s="1">
        <f t="shared" si="0"/>
        <v>-17086.51746997269</v>
      </c>
      <c r="F23" s="1">
        <f t="shared" si="1"/>
        <v>-17086.5</v>
      </c>
      <c r="G23" s="1">
        <f aca="true" t="shared" si="3" ref="G23:G54">+C23-(C$7+F23*C$8)</f>
        <v>-0.007922012118797284</v>
      </c>
      <c r="J23" s="1">
        <f>G23</f>
        <v>-0.007922012118797284</v>
      </c>
      <c r="Q23" s="79">
        <f t="shared" si="2"/>
        <v>30192.906000000003</v>
      </c>
    </row>
    <row r="24" spans="1:17" ht="12.75">
      <c r="A24" s="1" t="s">
        <v>39</v>
      </c>
      <c r="B24" s="14"/>
      <c r="C24" s="55">
        <v>49545.4104</v>
      </c>
      <c r="D24" s="55"/>
      <c r="E24" s="1">
        <f t="shared" si="0"/>
        <v>-7528.978636139869</v>
      </c>
      <c r="F24" s="1">
        <f t="shared" si="1"/>
        <v>-7529</v>
      </c>
      <c r="G24" s="1">
        <f t="shared" si="3"/>
        <v>0.009687751778983511</v>
      </c>
      <c r="J24" s="1">
        <f>G24</f>
        <v>0.009687751778983511</v>
      </c>
      <c r="Q24" s="79">
        <f t="shared" si="2"/>
        <v>34526.9104</v>
      </c>
    </row>
    <row r="25" spans="1:17" ht="12.75">
      <c r="A25" s="1" t="s">
        <v>39</v>
      </c>
      <c r="B25" s="17" t="s">
        <v>38</v>
      </c>
      <c r="C25" s="55">
        <v>49645.393</v>
      </c>
      <c r="D25" s="55"/>
      <c r="E25" s="1">
        <f t="shared" si="0"/>
        <v>-7308.4925696726705</v>
      </c>
      <c r="F25" s="1">
        <f t="shared" si="1"/>
        <v>-7308.5</v>
      </c>
      <c r="G25" s="1">
        <f t="shared" si="3"/>
        <v>0.0033693895384203643</v>
      </c>
      <c r="J25" s="1">
        <f>G25</f>
        <v>0.0033693895384203643</v>
      </c>
      <c r="Q25" s="79">
        <f t="shared" si="2"/>
        <v>34626.893</v>
      </c>
    </row>
    <row r="26" spans="1:17" ht="12.75">
      <c r="A26" s="1" t="s">
        <v>39</v>
      </c>
      <c r="B26" s="17" t="s">
        <v>38</v>
      </c>
      <c r="C26" s="55">
        <v>49646.3054</v>
      </c>
      <c r="D26" s="55"/>
      <c r="E26" s="1">
        <f t="shared" si="0"/>
        <v>-7306.480504702917</v>
      </c>
      <c r="F26" s="1">
        <f t="shared" si="1"/>
        <v>-7306.5</v>
      </c>
      <c r="G26" s="1">
        <f t="shared" si="3"/>
        <v>0.008840424801746849</v>
      </c>
      <c r="J26" s="1">
        <f>G26</f>
        <v>0.008840424801746849</v>
      </c>
      <c r="Q26" s="79">
        <f t="shared" si="2"/>
        <v>34627.8054</v>
      </c>
    </row>
    <row r="27" spans="1:17" ht="12.75">
      <c r="A27" s="1" t="s">
        <v>40</v>
      </c>
      <c r="B27" s="2" t="s">
        <v>41</v>
      </c>
      <c r="C27" s="55">
        <v>49905.4633</v>
      </c>
      <c r="D27" s="55"/>
      <c r="E27" s="1">
        <f t="shared" si="0"/>
        <v>-6734.974002922572</v>
      </c>
      <c r="F27" s="1">
        <f t="shared" si="1"/>
        <v>-6735</v>
      </c>
      <c r="G27" s="1">
        <f t="shared" si="3"/>
        <v>0.011788751260610297</v>
      </c>
      <c r="J27" s="1">
        <f>G27</f>
        <v>0.011788751260610297</v>
      </c>
      <c r="Q27" s="79">
        <f t="shared" si="2"/>
        <v>34886.9633</v>
      </c>
    </row>
    <row r="28" spans="1:17" ht="12.75">
      <c r="A28" s="1" t="s">
        <v>42</v>
      </c>
      <c r="C28" s="55">
        <v>50392.257</v>
      </c>
      <c r="D28" s="55">
        <v>0.0004</v>
      </c>
      <c r="E28" s="1">
        <f t="shared" si="0"/>
        <v>-5661.47493314426</v>
      </c>
      <c r="F28" s="1">
        <f t="shared" si="1"/>
        <v>-5661.5</v>
      </c>
      <c r="G28" s="1">
        <f t="shared" si="3"/>
        <v>0.011366928760253359</v>
      </c>
      <c r="I28" s="1">
        <f>G28</f>
        <v>0.011366928760253359</v>
      </c>
      <c r="Q28" s="79">
        <f t="shared" si="2"/>
        <v>35373.757</v>
      </c>
    </row>
    <row r="29" spans="1:17" ht="12.75">
      <c r="A29" s="1" t="s">
        <v>39</v>
      </c>
      <c r="B29" s="17" t="s">
        <v>38</v>
      </c>
      <c r="C29" s="55">
        <v>50653.4538</v>
      </c>
      <c r="D29" s="55"/>
      <c r="E29" s="1">
        <f t="shared" si="0"/>
        <v>-5085.472158603257</v>
      </c>
      <c r="F29" s="1">
        <f t="shared" si="1"/>
        <v>-5085.5</v>
      </c>
      <c r="G29" s="1">
        <f t="shared" si="3"/>
        <v>0.01262508456420619</v>
      </c>
      <c r="J29" s="1">
        <f>G29</f>
        <v>0.01262508456420619</v>
      </c>
      <c r="Q29" s="79">
        <f t="shared" si="2"/>
        <v>35634.9538</v>
      </c>
    </row>
    <row r="30" spans="1:17" ht="12.75">
      <c r="A30" s="1" t="s">
        <v>44</v>
      </c>
      <c r="B30" s="2" t="s">
        <v>41</v>
      </c>
      <c r="C30" s="55">
        <v>51404.6176</v>
      </c>
      <c r="D30" s="55">
        <v>0.0031</v>
      </c>
      <c r="E30" s="1">
        <f t="shared" si="0"/>
        <v>-3428.9724123018036</v>
      </c>
      <c r="F30" s="1">
        <f t="shared" si="1"/>
        <v>-3429</v>
      </c>
      <c r="G30" s="1">
        <f t="shared" si="3"/>
        <v>0.012510041284258477</v>
      </c>
      <c r="J30" s="1">
        <f>G30</f>
        <v>0.012510041284258477</v>
      </c>
      <c r="Q30" s="79">
        <f t="shared" si="2"/>
        <v>36386.1176</v>
      </c>
    </row>
    <row r="31" spans="1:17" ht="12.75">
      <c r="A31" s="1" t="s">
        <v>39</v>
      </c>
      <c r="B31" s="17" t="s">
        <v>38</v>
      </c>
      <c r="C31" s="55">
        <v>51413.4598</v>
      </c>
      <c r="D31" s="55">
        <v>0.0005</v>
      </c>
      <c r="E31" s="1">
        <f t="shared" si="0"/>
        <v>-3409.4732004697835</v>
      </c>
      <c r="F31" s="1">
        <f t="shared" si="1"/>
        <v>-3409.5</v>
      </c>
      <c r="G31" s="1">
        <f t="shared" si="3"/>
        <v>0.012152635099482723</v>
      </c>
      <c r="J31" s="1">
        <f>G31</f>
        <v>0.012152635099482723</v>
      </c>
      <c r="Q31" s="79">
        <f t="shared" si="2"/>
        <v>36394.9598</v>
      </c>
    </row>
    <row r="32" spans="1:17" ht="12.75">
      <c r="A32" s="56" t="s">
        <v>295</v>
      </c>
      <c r="B32" s="57" t="s">
        <v>41</v>
      </c>
      <c r="C32" s="56">
        <v>51782.35249</v>
      </c>
      <c r="D32" s="56">
        <v>0.002</v>
      </c>
      <c r="E32" s="1">
        <f t="shared" si="0"/>
        <v>-2595.974670059418</v>
      </c>
      <c r="F32" s="1">
        <f t="shared" si="1"/>
        <v>-2596</v>
      </c>
      <c r="G32" s="1">
        <f t="shared" si="3"/>
        <v>0.011486228395369835</v>
      </c>
      <c r="K32" s="1">
        <f>G32</f>
        <v>0.011486228395369835</v>
      </c>
      <c r="O32" s="1">
        <f aca="true" t="shared" si="4" ref="O32:O72">+C$11+C$12*F32</f>
        <v>0.014051212647655274</v>
      </c>
      <c r="Q32" s="79">
        <f t="shared" si="2"/>
        <v>36763.85249</v>
      </c>
    </row>
    <row r="33" spans="1:17" ht="12.75">
      <c r="A33" s="18" t="s">
        <v>45</v>
      </c>
      <c r="B33" s="58"/>
      <c r="C33" s="59">
        <v>52137.4143</v>
      </c>
      <c r="D33" s="59">
        <v>0.0008</v>
      </c>
      <c r="E33" s="1">
        <f t="shared" si="0"/>
        <v>-1812.9766100006962</v>
      </c>
      <c r="F33" s="1">
        <f t="shared" si="1"/>
        <v>-1813</v>
      </c>
      <c r="G33" s="1">
        <f t="shared" si="3"/>
        <v>0.010606533927784767</v>
      </c>
      <c r="J33" s="1">
        <f>G33</f>
        <v>0.010606533927784767</v>
      </c>
      <c r="O33" s="1">
        <f t="shared" si="4"/>
        <v>0.01033328726133797</v>
      </c>
      <c r="Q33" s="79">
        <f t="shared" si="2"/>
        <v>37118.9143</v>
      </c>
    </row>
    <row r="34" spans="1:17" ht="12.75">
      <c r="A34" s="60" t="s">
        <v>267</v>
      </c>
      <c r="B34" s="61" t="s">
        <v>38</v>
      </c>
      <c r="C34" s="62">
        <v>52209.2883</v>
      </c>
      <c r="D34" s="55"/>
      <c r="E34" s="1">
        <f t="shared" si="0"/>
        <v>-1654.4768756342673</v>
      </c>
      <c r="F34" s="1">
        <f t="shared" si="1"/>
        <v>-1654.5</v>
      </c>
      <c r="G34" s="1">
        <f t="shared" si="3"/>
        <v>0.010486078535905108</v>
      </c>
      <c r="K34" s="1">
        <f>G34</f>
        <v>0.010486078535905108</v>
      </c>
      <c r="O34" s="1">
        <f t="shared" si="4"/>
        <v>0.009580680398335043</v>
      </c>
      <c r="Q34" s="79">
        <f t="shared" si="2"/>
        <v>37190.7883</v>
      </c>
    </row>
    <row r="35" spans="1:17" ht="12.75">
      <c r="A35" s="21" t="s">
        <v>39</v>
      </c>
      <c r="B35" s="63"/>
      <c r="C35" s="64">
        <v>52448.4886</v>
      </c>
      <c r="D35" s="64">
        <v>0.0049</v>
      </c>
      <c r="E35" s="1">
        <f t="shared" si="0"/>
        <v>-1126.9817590362245</v>
      </c>
      <c r="F35" s="1">
        <f t="shared" si="1"/>
        <v>-1127</v>
      </c>
      <c r="G35" s="1">
        <f t="shared" si="3"/>
        <v>0.0082716291944962</v>
      </c>
      <c r="J35" s="1">
        <f>G35</f>
        <v>0.0082716291944962</v>
      </c>
      <c r="O35" s="1">
        <f t="shared" si="4"/>
        <v>0.007075947778561892</v>
      </c>
      <c r="Q35" s="79">
        <f t="shared" si="2"/>
        <v>37429.9886</v>
      </c>
    </row>
    <row r="36" spans="1:17" ht="12.75">
      <c r="A36" s="65" t="s">
        <v>46</v>
      </c>
      <c r="B36" s="66" t="s">
        <v>38</v>
      </c>
      <c r="C36" s="59">
        <v>52831.4314</v>
      </c>
      <c r="D36" s="59">
        <v>0.0003</v>
      </c>
      <c r="E36" s="1">
        <f t="shared" si="0"/>
        <v>-282.4993025493973</v>
      </c>
      <c r="F36" s="1">
        <f t="shared" si="1"/>
        <v>-282.5</v>
      </c>
      <c r="G36" s="1">
        <f t="shared" si="3"/>
        <v>0.0003162690773024224</v>
      </c>
      <c r="J36" s="1">
        <f>G36</f>
        <v>0.0003162690773024224</v>
      </c>
      <c r="O36" s="1">
        <f t="shared" si="4"/>
        <v>0.0030660014327828864</v>
      </c>
      <c r="Q36" s="79">
        <f t="shared" si="2"/>
        <v>37812.9314</v>
      </c>
    </row>
    <row r="37" spans="1:17" ht="12.75">
      <c r="A37" s="65" t="s">
        <v>46</v>
      </c>
      <c r="B37" s="63"/>
      <c r="C37" s="59">
        <v>52833.4738</v>
      </c>
      <c r="D37" s="59">
        <v>0.0003</v>
      </c>
      <c r="E37" s="1">
        <f t="shared" si="0"/>
        <v>-277.99531143342034</v>
      </c>
      <c r="F37" s="1">
        <f t="shared" si="1"/>
        <v>-278</v>
      </c>
      <c r="G37" s="1">
        <f t="shared" si="3"/>
        <v>0.0021260984140099026</v>
      </c>
      <c r="J37" s="1">
        <f>G37</f>
        <v>0.0021260984140099026</v>
      </c>
      <c r="O37" s="1">
        <f t="shared" si="4"/>
        <v>0.0030446340455052004</v>
      </c>
      <c r="Q37" s="79">
        <f t="shared" si="2"/>
        <v>37814.9738</v>
      </c>
    </row>
    <row r="38" spans="1:17" ht="12.75">
      <c r="A38" s="56" t="s">
        <v>295</v>
      </c>
      <c r="B38" s="57" t="s">
        <v>41</v>
      </c>
      <c r="C38" s="56">
        <v>52874.5141</v>
      </c>
      <c r="D38" s="56" t="s">
        <v>51</v>
      </c>
      <c r="E38" s="1">
        <f t="shared" si="0"/>
        <v>-187.49142062007581</v>
      </c>
      <c r="F38" s="1">
        <f t="shared" si="1"/>
        <v>-187.5</v>
      </c>
      <c r="G38" s="1">
        <f t="shared" si="3"/>
        <v>0.0038904440734768286</v>
      </c>
      <c r="K38" s="1">
        <f>G38</f>
        <v>0.0038904440734768286</v>
      </c>
      <c r="O38" s="1">
        <f t="shared" si="4"/>
        <v>0.0026149121458095225</v>
      </c>
      <c r="Q38" s="79">
        <f t="shared" si="2"/>
        <v>37856.0141</v>
      </c>
    </row>
    <row r="39" spans="1:17" ht="12.75">
      <c r="A39" s="18" t="s">
        <v>47</v>
      </c>
      <c r="B39" s="58" t="s">
        <v>41</v>
      </c>
      <c r="C39" s="64">
        <v>52959.5348</v>
      </c>
      <c r="D39" s="59">
        <v>0.0006</v>
      </c>
      <c r="E39" s="1">
        <f t="shared" si="0"/>
        <v>0</v>
      </c>
      <c r="F39" s="1">
        <f t="shared" si="1"/>
        <v>0</v>
      </c>
      <c r="G39" s="1">
        <f t="shared" si="3"/>
        <v>0</v>
      </c>
      <c r="J39" s="1">
        <f aca="true" t="shared" si="5" ref="J39:J58">G39</f>
        <v>0</v>
      </c>
      <c r="O39" s="1">
        <f t="shared" si="4"/>
        <v>0.0017246043425726207</v>
      </c>
      <c r="Q39" s="79">
        <f t="shared" si="2"/>
        <v>37941.0348</v>
      </c>
    </row>
    <row r="40" spans="1:17" ht="12.75">
      <c r="A40" s="65" t="s">
        <v>296</v>
      </c>
      <c r="B40" s="67"/>
      <c r="C40" s="64">
        <v>53209.392</v>
      </c>
      <c r="D40" s="64">
        <v>0.0001</v>
      </c>
      <c r="E40" s="1">
        <f t="shared" si="0"/>
        <v>550.9961854013625</v>
      </c>
      <c r="F40" s="1">
        <f t="shared" si="1"/>
        <v>551</v>
      </c>
      <c r="G40" s="1">
        <f t="shared" si="3"/>
        <v>-0.0017297849990427494</v>
      </c>
      <c r="J40" s="1">
        <f t="shared" si="5"/>
        <v>-0.0017297849990427494</v>
      </c>
      <c r="O40" s="1">
        <f t="shared" si="4"/>
        <v>-0.0008917135218728884</v>
      </c>
      <c r="Q40" s="79">
        <f t="shared" si="2"/>
        <v>38190.892</v>
      </c>
    </row>
    <row r="41" spans="1:17" ht="12.75">
      <c r="A41" s="65" t="s">
        <v>296</v>
      </c>
      <c r="B41" s="66" t="s">
        <v>38</v>
      </c>
      <c r="C41" s="64">
        <v>53216.4218</v>
      </c>
      <c r="D41" s="64">
        <v>0.001</v>
      </c>
      <c r="E41" s="1">
        <f t="shared" si="0"/>
        <v>566.4986123241514</v>
      </c>
      <c r="F41" s="1">
        <f t="shared" si="1"/>
        <v>566.5</v>
      </c>
      <c r="G41" s="1">
        <f t="shared" si="3"/>
        <v>-0.0006292617108556442</v>
      </c>
      <c r="J41" s="1">
        <f t="shared" si="5"/>
        <v>-0.0006292617108556442</v>
      </c>
      <c r="O41" s="1">
        <f t="shared" si="4"/>
        <v>-0.0009653123002738057</v>
      </c>
      <c r="Q41" s="79">
        <f t="shared" si="2"/>
        <v>38197.9218</v>
      </c>
    </row>
    <row r="42" spans="1:17" ht="12.75">
      <c r="A42" s="65" t="s">
        <v>296</v>
      </c>
      <c r="B42" s="66" t="s">
        <v>38</v>
      </c>
      <c r="C42" s="64">
        <v>53221.4088</v>
      </c>
      <c r="D42" s="64">
        <v>0.0023</v>
      </c>
      <c r="E42" s="1">
        <f t="shared" si="0"/>
        <v>577.4961660332186</v>
      </c>
      <c r="F42" s="1">
        <f t="shared" si="1"/>
        <v>577.5</v>
      </c>
      <c r="G42" s="1">
        <f t="shared" si="3"/>
        <v>-0.0017385677638230845</v>
      </c>
      <c r="J42" s="1">
        <f t="shared" si="5"/>
        <v>-0.0017385677638230845</v>
      </c>
      <c r="O42" s="1">
        <f t="shared" si="4"/>
        <v>-0.001017543691397037</v>
      </c>
      <c r="Q42" s="79">
        <f t="shared" si="2"/>
        <v>38202.9088</v>
      </c>
    </row>
    <row r="43" spans="1:17" ht="12.75">
      <c r="A43" s="65" t="s">
        <v>296</v>
      </c>
      <c r="B43" s="67"/>
      <c r="C43" s="64">
        <v>53228.443</v>
      </c>
      <c r="D43" s="64">
        <v>0.0005</v>
      </c>
      <c r="E43" s="1">
        <f t="shared" si="0"/>
        <v>593.0082960312787</v>
      </c>
      <c r="F43" s="1">
        <f t="shared" si="1"/>
        <v>593</v>
      </c>
      <c r="G43" s="1">
        <f t="shared" si="3"/>
        <v>0.0037619555296259932</v>
      </c>
      <c r="J43" s="1">
        <f t="shared" si="5"/>
        <v>0.0037619555296259932</v>
      </c>
      <c r="O43" s="1">
        <f t="shared" si="4"/>
        <v>-0.0010911424697979543</v>
      </c>
      <c r="Q43" s="79">
        <f t="shared" si="2"/>
        <v>38209.943</v>
      </c>
    </row>
    <row r="44" spans="1:17" ht="12.75">
      <c r="A44" s="65" t="s">
        <v>296</v>
      </c>
      <c r="B44" s="67"/>
      <c r="C44" s="64">
        <v>53233.4247</v>
      </c>
      <c r="D44" s="64">
        <v>0.0013</v>
      </c>
      <c r="E44" s="1">
        <f t="shared" si="0"/>
        <v>603.9941619451533</v>
      </c>
      <c r="F44" s="1">
        <f t="shared" si="1"/>
        <v>604</v>
      </c>
      <c r="G44" s="1">
        <f t="shared" si="3"/>
        <v>-0.0026473505204194225</v>
      </c>
      <c r="J44" s="1">
        <f t="shared" si="5"/>
        <v>-0.0026473505204194225</v>
      </c>
      <c r="O44" s="1">
        <f t="shared" si="4"/>
        <v>-0.001143373860921186</v>
      </c>
      <c r="Q44" s="79">
        <f t="shared" si="2"/>
        <v>38214.9247</v>
      </c>
    </row>
    <row r="45" spans="1:17" ht="12.75">
      <c r="A45" s="65" t="s">
        <v>296</v>
      </c>
      <c r="B45" s="67"/>
      <c r="C45" s="64">
        <v>53242.497</v>
      </c>
      <c r="D45" s="64">
        <v>0.0002</v>
      </c>
      <c r="E45" s="1">
        <f t="shared" si="0"/>
        <v>624.0008005083674</v>
      </c>
      <c r="F45" s="1">
        <f t="shared" si="1"/>
        <v>624</v>
      </c>
      <c r="G45" s="1">
        <f t="shared" si="3"/>
        <v>0.00036300210922490805</v>
      </c>
      <c r="J45" s="1">
        <f t="shared" si="5"/>
        <v>0.00036300210922490805</v>
      </c>
      <c r="O45" s="1">
        <f t="shared" si="4"/>
        <v>-0.0012383400265997889</v>
      </c>
      <c r="Q45" s="79">
        <f t="shared" si="2"/>
        <v>38223.997</v>
      </c>
    </row>
    <row r="46" spans="1:17" ht="12.75">
      <c r="A46" s="65" t="s">
        <v>296</v>
      </c>
      <c r="B46" s="66" t="s">
        <v>38</v>
      </c>
      <c r="C46" s="64">
        <v>53250.4301</v>
      </c>
      <c r="D46" s="64">
        <v>0.0009</v>
      </c>
      <c r="E46" s="1">
        <f t="shared" si="0"/>
        <v>641.4952246770713</v>
      </c>
      <c r="F46" s="1">
        <f t="shared" si="1"/>
        <v>641.5</v>
      </c>
      <c r="G46" s="1">
        <f t="shared" si="3"/>
        <v>-0.0021654393422068097</v>
      </c>
      <c r="J46" s="1">
        <f t="shared" si="5"/>
        <v>-0.0021654393422068097</v>
      </c>
      <c r="O46" s="1">
        <f t="shared" si="4"/>
        <v>-0.0013214354215685662</v>
      </c>
      <c r="Q46" s="79">
        <f t="shared" si="2"/>
        <v>38231.9301</v>
      </c>
    </row>
    <row r="47" spans="1:17" ht="12.75">
      <c r="A47" s="65" t="s">
        <v>296</v>
      </c>
      <c r="B47" s="67"/>
      <c r="C47" s="64">
        <v>53253.3782</v>
      </c>
      <c r="D47" s="64">
        <v>0.0006</v>
      </c>
      <c r="E47" s="1">
        <f t="shared" si="0"/>
        <v>647.9965056254792</v>
      </c>
      <c r="F47" s="1">
        <f t="shared" si="1"/>
        <v>648</v>
      </c>
      <c r="G47" s="1">
        <f t="shared" si="3"/>
        <v>-0.0015845747329876758</v>
      </c>
      <c r="J47" s="1">
        <f t="shared" si="5"/>
        <v>-0.0015845747329876758</v>
      </c>
      <c r="O47" s="1">
        <f t="shared" si="4"/>
        <v>-0.0013522994254141123</v>
      </c>
      <c r="Q47" s="79">
        <f t="shared" si="2"/>
        <v>38234.8782</v>
      </c>
    </row>
    <row r="48" spans="1:17" ht="12.75">
      <c r="A48" s="65" t="s">
        <v>296</v>
      </c>
      <c r="B48" s="66" t="s">
        <v>38</v>
      </c>
      <c r="C48" s="64">
        <v>53254.5135</v>
      </c>
      <c r="D48" s="64">
        <v>0.0029</v>
      </c>
      <c r="E48" s="1">
        <f t="shared" si="0"/>
        <v>650.5001195669112</v>
      </c>
      <c r="F48" s="1">
        <f t="shared" si="1"/>
        <v>650.5</v>
      </c>
      <c r="G48" s="1">
        <f t="shared" si="3"/>
        <v>5.421934474725276E-05</v>
      </c>
      <c r="J48" s="1">
        <f t="shared" si="5"/>
        <v>5.421934474725276E-05</v>
      </c>
      <c r="O48" s="1">
        <f t="shared" si="4"/>
        <v>-0.0013641701961239375</v>
      </c>
      <c r="Q48" s="79">
        <f t="shared" si="2"/>
        <v>38236.0135</v>
      </c>
    </row>
    <row r="49" spans="1:17" ht="12.75">
      <c r="A49" s="65" t="s">
        <v>296</v>
      </c>
      <c r="B49" s="66" t="s">
        <v>38</v>
      </c>
      <c r="C49" s="64">
        <v>53255.4191</v>
      </c>
      <c r="D49" s="64">
        <v>0.0021</v>
      </c>
      <c r="E49" s="1">
        <f t="shared" si="0"/>
        <v>652.4971888748938</v>
      </c>
      <c r="F49" s="1">
        <f t="shared" si="1"/>
        <v>652.5</v>
      </c>
      <c r="G49" s="1">
        <f t="shared" si="3"/>
        <v>-0.0012747453874908388</v>
      </c>
      <c r="J49" s="1">
        <f t="shared" si="5"/>
        <v>-0.0012747453874908388</v>
      </c>
      <c r="O49" s="1">
        <f t="shared" si="4"/>
        <v>-0.001373666812691798</v>
      </c>
      <c r="Q49" s="79">
        <f t="shared" si="2"/>
        <v>38236.9191</v>
      </c>
    </row>
    <row r="50" spans="1:17" ht="12.75">
      <c r="A50" s="65" t="s">
        <v>296</v>
      </c>
      <c r="B50" s="67"/>
      <c r="C50" s="64">
        <v>53256.5519</v>
      </c>
      <c r="D50" s="64">
        <v>0.0008</v>
      </c>
      <c r="E50" s="1">
        <f t="shared" si="0"/>
        <v>654.9952897053776</v>
      </c>
      <c r="F50" s="1">
        <f t="shared" si="1"/>
        <v>655</v>
      </c>
      <c r="G50" s="1">
        <f t="shared" si="3"/>
        <v>-0.0021359513120842166</v>
      </c>
      <c r="J50" s="1">
        <f t="shared" si="5"/>
        <v>-0.0021359513120842166</v>
      </c>
      <c r="O50" s="1">
        <f t="shared" si="4"/>
        <v>-0.001385537583401623</v>
      </c>
      <c r="Q50" s="79">
        <f t="shared" si="2"/>
        <v>38238.0519</v>
      </c>
    </row>
    <row r="51" spans="1:17" ht="12.75">
      <c r="A51" s="65" t="s">
        <v>296</v>
      </c>
      <c r="B51" s="67"/>
      <c r="C51" s="64">
        <v>53257.4595</v>
      </c>
      <c r="D51" s="64">
        <v>0.0011</v>
      </c>
      <c r="E51" s="1">
        <f t="shared" si="0"/>
        <v>656.9967695021156</v>
      </c>
      <c r="F51" s="1">
        <f t="shared" si="1"/>
        <v>657</v>
      </c>
      <c r="G51" s="1">
        <f t="shared" si="3"/>
        <v>-0.0014649160511908121</v>
      </c>
      <c r="J51" s="1">
        <f t="shared" si="5"/>
        <v>-0.0014649160511908121</v>
      </c>
      <c r="O51" s="1">
        <f t="shared" si="4"/>
        <v>-0.0013950341999694835</v>
      </c>
      <c r="Q51" s="79">
        <f t="shared" si="2"/>
        <v>38238.9595</v>
      </c>
    </row>
    <row r="52" spans="1:17" ht="12.75">
      <c r="A52" s="65" t="s">
        <v>296</v>
      </c>
      <c r="B52" s="67"/>
      <c r="C52" s="64">
        <v>53267.436</v>
      </c>
      <c r="D52" s="64">
        <v>0.0038</v>
      </c>
      <c r="E52" s="1">
        <f t="shared" si="0"/>
        <v>678.9973900311982</v>
      </c>
      <c r="F52" s="1">
        <f t="shared" si="1"/>
        <v>679</v>
      </c>
      <c r="G52" s="1">
        <f t="shared" si="3"/>
        <v>-0.0011835281547973864</v>
      </c>
      <c r="J52" s="1">
        <f t="shared" si="5"/>
        <v>-0.0011835281547973864</v>
      </c>
      <c r="O52" s="1">
        <f t="shared" si="4"/>
        <v>-0.0014994969822159465</v>
      </c>
      <c r="Q52" s="79">
        <f t="shared" si="2"/>
        <v>38248.936</v>
      </c>
    </row>
    <row r="53" spans="1:17" ht="12.75">
      <c r="A53" s="65" t="s">
        <v>296</v>
      </c>
      <c r="B53" s="67"/>
      <c r="C53" s="64">
        <v>53282.3983</v>
      </c>
      <c r="D53" s="64">
        <v>0.0017</v>
      </c>
      <c r="E53" s="1">
        <f aca="true" t="shared" si="6" ref="E53:E72">+(C53-C$7)/C$8</f>
        <v>711.992917976082</v>
      </c>
      <c r="F53" s="1">
        <f aca="true" t="shared" si="7" ref="F53:F73">ROUND(2*E53,0)/2</f>
        <v>712</v>
      </c>
      <c r="G53" s="1">
        <f t="shared" si="3"/>
        <v>-0.0032114463101606816</v>
      </c>
      <c r="J53" s="1">
        <f t="shared" si="5"/>
        <v>-0.0032114463101606816</v>
      </c>
      <c r="O53" s="1">
        <f t="shared" si="4"/>
        <v>-0.0016561911555856416</v>
      </c>
      <c r="Q53" s="79">
        <f aca="true" t="shared" si="8" ref="Q53:Q72">+C53-15018.5</f>
        <v>38263.8983</v>
      </c>
    </row>
    <row r="54" spans="1:17" ht="12.75">
      <c r="A54" s="65" t="s">
        <v>296</v>
      </c>
      <c r="B54" s="66" t="s">
        <v>38</v>
      </c>
      <c r="C54" s="64">
        <v>53284.4397</v>
      </c>
      <c r="D54" s="64">
        <v>0.0035</v>
      </c>
      <c r="E54" s="1">
        <f t="shared" si="6"/>
        <v>716.4947038476895</v>
      </c>
      <c r="F54" s="1">
        <f t="shared" si="7"/>
        <v>716.5</v>
      </c>
      <c r="G54" s="1">
        <f t="shared" si="3"/>
        <v>-0.0024016169627429917</v>
      </c>
      <c r="J54" s="1">
        <f t="shared" si="5"/>
        <v>-0.0024016169627429917</v>
      </c>
      <c r="O54" s="1">
        <f t="shared" si="4"/>
        <v>-0.0016775585428633272</v>
      </c>
      <c r="Q54" s="79">
        <f t="shared" si="8"/>
        <v>38265.9397</v>
      </c>
    </row>
    <row r="55" spans="1:17" ht="12.75">
      <c r="A55" s="68" t="s">
        <v>297</v>
      </c>
      <c r="B55" s="66" t="s">
        <v>38</v>
      </c>
      <c r="C55" s="64">
        <v>53601.4088</v>
      </c>
      <c r="D55" s="64">
        <v>0.0003</v>
      </c>
      <c r="E55" s="1">
        <f t="shared" si="6"/>
        <v>1415.4890293668304</v>
      </c>
      <c r="F55" s="1">
        <f t="shared" si="7"/>
        <v>1415.5</v>
      </c>
      <c r="G55" s="1">
        <f aca="true" t="shared" si="9" ref="G55:G72">+C55-(C$7+F55*C$8)</f>
        <v>-0.00497479249315802</v>
      </c>
      <c r="J55" s="1">
        <f t="shared" si="5"/>
        <v>-0.00497479249315802</v>
      </c>
      <c r="O55" s="1">
        <f t="shared" si="4"/>
        <v>-0.004996626033330497</v>
      </c>
      <c r="Q55" s="79">
        <f t="shared" si="8"/>
        <v>38582.9088</v>
      </c>
    </row>
    <row r="56" spans="1:17" ht="12.75">
      <c r="A56" s="68" t="s">
        <v>297</v>
      </c>
      <c r="B56" s="63"/>
      <c r="C56" s="64">
        <v>53648.342</v>
      </c>
      <c r="D56" s="64">
        <v>0.0067</v>
      </c>
      <c r="E56" s="1">
        <f t="shared" si="6"/>
        <v>1518.9882047705375</v>
      </c>
      <c r="F56" s="1">
        <f t="shared" si="7"/>
        <v>1519</v>
      </c>
      <c r="G56" s="1">
        <f t="shared" si="9"/>
        <v>-0.005348717619199306</v>
      </c>
      <c r="J56" s="1">
        <f t="shared" si="5"/>
        <v>-0.005348717619199306</v>
      </c>
      <c r="O56" s="1">
        <f t="shared" si="4"/>
        <v>-0.005488075940717267</v>
      </c>
      <c r="Q56" s="79">
        <f t="shared" si="8"/>
        <v>38629.842</v>
      </c>
    </row>
    <row r="57" spans="1:17" ht="12.75">
      <c r="A57" s="64" t="s">
        <v>298</v>
      </c>
      <c r="B57" s="66" t="s">
        <v>38</v>
      </c>
      <c r="C57" s="64">
        <v>53927.444</v>
      </c>
      <c r="D57" s="64">
        <v>0.0004</v>
      </c>
      <c r="E57" s="1">
        <f t="shared" si="6"/>
        <v>2134.4763209340717</v>
      </c>
      <c r="F57" s="1">
        <f t="shared" si="7"/>
        <v>2134.5</v>
      </c>
      <c r="G57" s="1">
        <f t="shared" si="9"/>
        <v>-0.010737615375546739</v>
      </c>
      <c r="J57" s="1">
        <f t="shared" si="5"/>
        <v>-0.010737615375546739</v>
      </c>
      <c r="O57" s="1">
        <f t="shared" si="4"/>
        <v>-0.00841065968947627</v>
      </c>
      <c r="Q57" s="79">
        <f t="shared" si="8"/>
        <v>38908.944</v>
      </c>
    </row>
    <row r="58" spans="1:17" ht="12.75">
      <c r="A58" s="64" t="s">
        <v>299</v>
      </c>
      <c r="B58" s="66" t="s">
        <v>38</v>
      </c>
      <c r="C58" s="64">
        <v>53966.4427</v>
      </c>
      <c r="D58" s="64">
        <v>0.0006</v>
      </c>
      <c r="E58" s="1">
        <f t="shared" si="6"/>
        <v>2220.477984826928</v>
      </c>
      <c r="F58" s="1">
        <f t="shared" si="7"/>
        <v>2220.5</v>
      </c>
      <c r="G58" s="1">
        <f t="shared" si="9"/>
        <v>-0.009983099058445077</v>
      </c>
      <c r="J58" s="1">
        <f t="shared" si="5"/>
        <v>-0.009983099058445077</v>
      </c>
      <c r="O58" s="1">
        <f t="shared" si="4"/>
        <v>-0.008819014201894263</v>
      </c>
      <c r="Q58" s="79">
        <f t="shared" si="8"/>
        <v>38947.9427</v>
      </c>
    </row>
    <row r="59" spans="1:17" ht="12.75">
      <c r="A59" s="26" t="s">
        <v>300</v>
      </c>
      <c r="B59" s="69"/>
      <c r="C59" s="59">
        <v>54031.7419</v>
      </c>
      <c r="D59" s="59">
        <v>0.0002</v>
      </c>
      <c r="E59" s="1">
        <f t="shared" si="6"/>
        <v>2364.4786784621792</v>
      </c>
      <c r="F59" s="1">
        <f t="shared" si="7"/>
        <v>2364.5</v>
      </c>
      <c r="G59" s="1">
        <f t="shared" si="9"/>
        <v>-0.009668560109275859</v>
      </c>
      <c r="K59" s="1">
        <f aca="true" t="shared" si="10" ref="K59:K64">G59</f>
        <v>-0.009668560109275859</v>
      </c>
      <c r="O59" s="1">
        <f t="shared" si="4"/>
        <v>-0.009502770594780203</v>
      </c>
      <c r="Q59" s="79">
        <f t="shared" si="8"/>
        <v>39013.2419</v>
      </c>
    </row>
    <row r="60" spans="1:17" ht="12.75">
      <c r="A60" s="68" t="s">
        <v>301</v>
      </c>
      <c r="B60" s="66" t="s">
        <v>41</v>
      </c>
      <c r="C60" s="64">
        <v>55083.31664</v>
      </c>
      <c r="D60" s="64">
        <v>0.0002</v>
      </c>
      <c r="E60" s="1">
        <f t="shared" si="6"/>
        <v>4683.457961046114</v>
      </c>
      <c r="F60" s="1">
        <f t="shared" si="7"/>
        <v>4683.5</v>
      </c>
      <c r="G60" s="1">
        <f t="shared" si="9"/>
        <v>-0.01906317246175604</v>
      </c>
      <c r="K60" s="1">
        <f t="shared" si="10"/>
        <v>-0.01906317246175604</v>
      </c>
      <c r="O60" s="1">
        <f t="shared" si="4"/>
        <v>-0.020514097505214206</v>
      </c>
      <c r="Q60" s="79">
        <f t="shared" si="8"/>
        <v>40064.81664</v>
      </c>
    </row>
    <row r="61" spans="1:17" ht="12.75">
      <c r="A61" s="68" t="s">
        <v>302</v>
      </c>
      <c r="B61" s="66" t="s">
        <v>41</v>
      </c>
      <c r="C61" s="64">
        <v>55120.2701</v>
      </c>
      <c r="D61" s="64">
        <v>0.0001</v>
      </c>
      <c r="E61" s="1">
        <f t="shared" si="6"/>
        <v>4764.949370928976</v>
      </c>
      <c r="F61" s="1">
        <f t="shared" si="7"/>
        <v>4765</v>
      </c>
      <c r="G61" s="1">
        <f t="shared" si="9"/>
        <v>-0.022958485482377</v>
      </c>
      <c r="K61" s="1">
        <f t="shared" si="10"/>
        <v>-0.022958485482377</v>
      </c>
      <c r="N61" s="1">
        <f>G61</f>
        <v>-0.022958485482377</v>
      </c>
      <c r="O61" s="1">
        <f t="shared" si="4"/>
        <v>-0.020901084630354512</v>
      </c>
      <c r="Q61" s="79">
        <f t="shared" si="8"/>
        <v>40101.7701</v>
      </c>
    </row>
    <row r="62" spans="1:17" ht="12.75">
      <c r="A62" s="68" t="s">
        <v>301</v>
      </c>
      <c r="B62" s="66" t="s">
        <v>41</v>
      </c>
      <c r="C62" s="64">
        <v>55388.4951</v>
      </c>
      <c r="D62" s="64">
        <v>0.001</v>
      </c>
      <c r="E62" s="1">
        <f t="shared" si="6"/>
        <v>5356.4510440017575</v>
      </c>
      <c r="F62" s="1">
        <f t="shared" si="7"/>
        <v>5356.5</v>
      </c>
      <c r="G62" s="1">
        <f t="shared" si="9"/>
        <v>-0.022199806400749367</v>
      </c>
      <c r="K62" s="1">
        <f t="shared" si="10"/>
        <v>-0.022199806400749367</v>
      </c>
      <c r="O62" s="1">
        <f t="shared" si="4"/>
        <v>-0.023709708980299192</v>
      </c>
      <c r="Q62" s="79">
        <f t="shared" si="8"/>
        <v>40369.9951</v>
      </c>
    </row>
    <row r="63" spans="1:17" ht="12.75">
      <c r="A63" s="68" t="s">
        <v>301</v>
      </c>
      <c r="B63" s="66" t="s">
        <v>38</v>
      </c>
      <c r="C63" s="64">
        <v>55431.34587</v>
      </c>
      <c r="D63" s="64">
        <v>0.0006</v>
      </c>
      <c r="E63" s="1">
        <f t="shared" si="6"/>
        <v>5450.947463602673</v>
      </c>
      <c r="F63" s="1">
        <f t="shared" si="7"/>
        <v>5451</v>
      </c>
      <c r="G63" s="1">
        <f t="shared" si="9"/>
        <v>-0.023823390220059082</v>
      </c>
      <c r="K63" s="1">
        <f t="shared" si="10"/>
        <v>-0.023823390220059082</v>
      </c>
      <c r="O63" s="1">
        <f t="shared" si="4"/>
        <v>-0.02415842411313059</v>
      </c>
      <c r="Q63" s="79">
        <f t="shared" si="8"/>
        <v>40412.84587</v>
      </c>
    </row>
    <row r="64" spans="1:17" ht="12.75">
      <c r="A64" s="68" t="s">
        <v>301</v>
      </c>
      <c r="B64" s="66" t="s">
        <v>38</v>
      </c>
      <c r="C64" s="64">
        <v>55431.34607</v>
      </c>
      <c r="D64" s="64">
        <v>0.0004</v>
      </c>
      <c r="E64" s="1">
        <f t="shared" si="6"/>
        <v>5450.9479046515535</v>
      </c>
      <c r="F64" s="1">
        <f t="shared" si="7"/>
        <v>5451</v>
      </c>
      <c r="G64" s="1">
        <f t="shared" si="9"/>
        <v>-0.02362339021783555</v>
      </c>
      <c r="K64" s="1">
        <f t="shared" si="10"/>
        <v>-0.02362339021783555</v>
      </c>
      <c r="O64" s="1">
        <f t="shared" si="4"/>
        <v>-0.02415842411313059</v>
      </c>
      <c r="Q64" s="79">
        <f t="shared" si="8"/>
        <v>40412.84607</v>
      </c>
    </row>
    <row r="65" spans="1:17" ht="12.75">
      <c r="A65" s="68" t="s">
        <v>303</v>
      </c>
      <c r="B65" s="66" t="s">
        <v>41</v>
      </c>
      <c r="C65" s="64">
        <v>55469.6674</v>
      </c>
      <c r="D65" s="64">
        <v>0.0009</v>
      </c>
      <c r="E65" s="1">
        <f t="shared" si="6"/>
        <v>5535.455802160635</v>
      </c>
      <c r="F65" s="1">
        <f t="shared" si="7"/>
        <v>5535.5</v>
      </c>
      <c r="G65" s="1">
        <f t="shared" si="9"/>
        <v>-0.020042150346853305</v>
      </c>
      <c r="J65" s="1">
        <f>G65</f>
        <v>-0.020042150346853305</v>
      </c>
      <c r="O65" s="1">
        <f t="shared" si="4"/>
        <v>-0.024559656163122688</v>
      </c>
      <c r="Q65" s="79">
        <f t="shared" si="8"/>
        <v>40451.1674</v>
      </c>
    </row>
    <row r="66" spans="1:17" ht="12.75">
      <c r="A66" s="70" t="s">
        <v>304</v>
      </c>
      <c r="B66" s="71" t="s">
        <v>38</v>
      </c>
      <c r="C66" s="72">
        <v>55481.4556</v>
      </c>
      <c r="D66" s="72">
        <v>0.0026</v>
      </c>
      <c r="E66" s="1">
        <f t="shared" si="6"/>
        <v>5561.451663927876</v>
      </c>
      <c r="F66" s="1">
        <f t="shared" si="7"/>
        <v>5561.5</v>
      </c>
      <c r="G66" s="1">
        <f t="shared" si="9"/>
        <v>-0.021918691927567124</v>
      </c>
      <c r="J66" s="1">
        <f>G66</f>
        <v>-0.021918691927567124</v>
      </c>
      <c r="O66" s="1">
        <f t="shared" si="4"/>
        <v>-0.02468311217850487</v>
      </c>
      <c r="Q66" s="79">
        <f t="shared" si="8"/>
        <v>40462.9556</v>
      </c>
    </row>
    <row r="67" spans="1:17" ht="12.75">
      <c r="A67" s="70" t="s">
        <v>305</v>
      </c>
      <c r="B67" s="71" t="s">
        <v>41</v>
      </c>
      <c r="C67" s="72">
        <v>55797.51583</v>
      </c>
      <c r="D67" s="72">
        <v>0.0001</v>
      </c>
      <c r="E67" s="1">
        <f t="shared" si="6"/>
        <v>6258.441708989919</v>
      </c>
      <c r="F67" s="1">
        <f t="shared" si="7"/>
        <v>6258.5</v>
      </c>
      <c r="G67" s="1">
        <f t="shared" si="9"/>
        <v>-0.02643290271225851</v>
      </c>
      <c r="K67" s="1">
        <f aca="true" t="shared" si="11" ref="K67:K72">G67</f>
        <v>-0.02643290271225851</v>
      </c>
      <c r="O67" s="1">
        <f t="shared" si="4"/>
        <v>-0.027992683052404183</v>
      </c>
      <c r="Q67" s="79">
        <f t="shared" si="8"/>
        <v>40779.01583</v>
      </c>
    </row>
    <row r="68" spans="1:17" ht="12.75">
      <c r="A68" s="60" t="s">
        <v>282</v>
      </c>
      <c r="B68" s="61" t="s">
        <v>38</v>
      </c>
      <c r="C68" s="62">
        <v>55807.4919</v>
      </c>
      <c r="D68" s="55"/>
      <c r="E68" s="1">
        <f t="shared" si="6"/>
        <v>6280.4413812639195</v>
      </c>
      <c r="F68" s="1">
        <f t="shared" si="7"/>
        <v>6280.5</v>
      </c>
      <c r="G68" s="1">
        <f t="shared" si="9"/>
        <v>-0.026581514815916307</v>
      </c>
      <c r="K68" s="1">
        <f t="shared" si="11"/>
        <v>-0.026581514815916307</v>
      </c>
      <c r="O68" s="1">
        <f t="shared" si="4"/>
        <v>-0.028097145834650644</v>
      </c>
      <c r="Q68" s="79">
        <f t="shared" si="8"/>
        <v>40788.9919</v>
      </c>
    </row>
    <row r="69" spans="1:17" ht="12.75">
      <c r="A69" s="70" t="s">
        <v>305</v>
      </c>
      <c r="B69" s="71" t="s">
        <v>38</v>
      </c>
      <c r="C69" s="72">
        <v>56220.36574</v>
      </c>
      <c r="D69" s="72">
        <v>0.0001</v>
      </c>
      <c r="E69" s="1">
        <f t="shared" si="6"/>
        <v>7190.929095414298</v>
      </c>
      <c r="F69" s="1">
        <f t="shared" si="7"/>
        <v>7191</v>
      </c>
      <c r="G69" s="1">
        <f t="shared" si="9"/>
        <v>-0.03215271125372965</v>
      </c>
      <c r="K69" s="1">
        <f t="shared" si="11"/>
        <v>-0.03215271125372965</v>
      </c>
      <c r="O69" s="1">
        <f t="shared" si="4"/>
        <v>-0.03242048052716904</v>
      </c>
      <c r="Q69" s="79">
        <f t="shared" si="8"/>
        <v>41201.86574</v>
      </c>
    </row>
    <row r="70" spans="1:17" ht="12.75">
      <c r="A70" s="70" t="s">
        <v>305</v>
      </c>
      <c r="B70" s="71" t="s">
        <v>38</v>
      </c>
      <c r="C70" s="72">
        <v>56542.32195</v>
      </c>
      <c r="D70" s="72">
        <v>0.0004</v>
      </c>
      <c r="E70" s="1">
        <f t="shared" si="6"/>
        <v>7900.921217219389</v>
      </c>
      <c r="F70" s="1">
        <f t="shared" si="7"/>
        <v>7901</v>
      </c>
      <c r="G70" s="1">
        <f t="shared" si="9"/>
        <v>-0.035725192828977015</v>
      </c>
      <c r="K70" s="1">
        <f t="shared" si="11"/>
        <v>-0.035725192828977015</v>
      </c>
      <c r="O70" s="1">
        <f t="shared" si="4"/>
        <v>-0.035791779408759446</v>
      </c>
      <c r="Q70" s="79">
        <f t="shared" si="8"/>
        <v>41523.82195</v>
      </c>
    </row>
    <row r="71" spans="1:17" ht="12.75">
      <c r="A71" s="70" t="s">
        <v>305</v>
      </c>
      <c r="B71" s="71" t="s">
        <v>38</v>
      </c>
      <c r="C71" s="72">
        <v>56542.32284</v>
      </c>
      <c r="D71" s="72">
        <v>0.0006</v>
      </c>
      <c r="E71" s="1">
        <f t="shared" si="6"/>
        <v>7900.923179886891</v>
      </c>
      <c r="F71" s="1">
        <f t="shared" si="7"/>
        <v>7901</v>
      </c>
      <c r="G71" s="1">
        <f t="shared" si="9"/>
        <v>-0.034835192825994454</v>
      </c>
      <c r="K71" s="1">
        <f t="shared" si="11"/>
        <v>-0.034835192825994454</v>
      </c>
      <c r="O71" s="1">
        <f t="shared" si="4"/>
        <v>-0.035791779408759446</v>
      </c>
      <c r="Q71" s="79">
        <f t="shared" si="8"/>
        <v>41523.82284</v>
      </c>
    </row>
    <row r="72" spans="1:17" ht="12.75">
      <c r="A72" s="73" t="s">
        <v>306</v>
      </c>
      <c r="B72" s="74" t="s">
        <v>41</v>
      </c>
      <c r="C72" s="75">
        <v>56579.27929</v>
      </c>
      <c r="D72" s="73">
        <v>0.0004</v>
      </c>
      <c r="E72" s="1">
        <f t="shared" si="6"/>
        <v>7982.421183450428</v>
      </c>
      <c r="F72" s="1">
        <f t="shared" si="7"/>
        <v>7982.5</v>
      </c>
      <c r="G72" s="1">
        <f t="shared" si="9"/>
        <v>-0.03574050585302757</v>
      </c>
      <c r="K72" s="1">
        <f t="shared" si="11"/>
        <v>-0.03574050585302757</v>
      </c>
      <c r="O72" s="1">
        <f t="shared" si="4"/>
        <v>-0.03617876653389975</v>
      </c>
      <c r="Q72" s="79">
        <f t="shared" si="8"/>
        <v>41560.77929</v>
      </c>
    </row>
    <row r="73" spans="1:17" ht="12.75">
      <c r="A73" s="76" t="s">
        <v>307</v>
      </c>
      <c r="B73" s="77" t="s">
        <v>38</v>
      </c>
      <c r="C73" s="78">
        <v>57657.37588</v>
      </c>
      <c r="D73" s="78">
        <v>0.0001</v>
      </c>
      <c r="E73" s="1">
        <f>+(C73-C$7)/C$8</f>
        <v>10359.887626619648</v>
      </c>
      <c r="F73" s="1">
        <f t="shared" si="7"/>
        <v>10360</v>
      </c>
      <c r="G73" s="1">
        <f>+C73-(C$7+F73*C$8)</f>
        <v>-0.050957336752617266</v>
      </c>
      <c r="K73" s="1">
        <f>G73</f>
        <v>-0.050957336752617266</v>
      </c>
      <c r="O73" s="1">
        <f>+C$11+C$12*F73</f>
        <v>-0.047467869478943665</v>
      </c>
      <c r="Q73" s="79">
        <f>+C73-15018.5</f>
        <v>42638.87588</v>
      </c>
    </row>
    <row r="74" spans="1:17" ht="12.75">
      <c r="A74" s="76" t="s">
        <v>308</v>
      </c>
      <c r="B74" s="77" t="s">
        <v>41</v>
      </c>
      <c r="C74" s="78">
        <v>57994.52272999985</v>
      </c>
      <c r="D74" s="78">
        <v>0.0004</v>
      </c>
      <c r="E74" s="1">
        <f>+(C74-C$7)/C$8</f>
        <v>11103.378821870394</v>
      </c>
      <c r="F74" s="1">
        <f>ROUND(2*E74,0)/2</f>
        <v>11103.5</v>
      </c>
      <c r="G74" s="1">
        <f>+C74-(C$7+F74*C$8)</f>
        <v>-0.0549499778135214</v>
      </c>
      <c r="K74" s="1">
        <f>G74</f>
        <v>-0.0549499778135214</v>
      </c>
      <c r="O74" s="1">
        <f>+C$11+C$12*F74</f>
        <v>-0.05099823668804573</v>
      </c>
      <c r="Q74" s="79">
        <f>+C74-15018.5</f>
        <v>42976.02272999985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O36" sqref="O36"/>
    </sheetView>
  </sheetViews>
  <sheetFormatPr defaultColWidth="10.28125" defaultRowHeight="12.75"/>
  <cols>
    <col min="1" max="1" width="14.421875" style="1" customWidth="1"/>
    <col min="2" max="2" width="5.140625" style="2" customWidth="1"/>
    <col min="3" max="3" width="11.8515625" style="1" customWidth="1"/>
    <col min="4" max="4" width="9.421875" style="1" customWidth="1"/>
    <col min="5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3" t="s">
        <v>0</v>
      </c>
    </row>
    <row r="2" spans="1:2" ht="12.75">
      <c r="A2" s="1" t="s">
        <v>1</v>
      </c>
      <c r="B2" s="4" t="s">
        <v>2</v>
      </c>
    </row>
    <row r="4" spans="1:4" ht="12.75">
      <c r="A4" s="5" t="s">
        <v>3</v>
      </c>
      <c r="C4" s="6">
        <v>24767.7</v>
      </c>
      <c r="D4" s="7">
        <v>0.45347</v>
      </c>
    </row>
    <row r="6" ht="12.75">
      <c r="A6" s="5" t="s">
        <v>4</v>
      </c>
    </row>
    <row r="7" spans="1:3" ht="12.75">
      <c r="A7" s="1" t="s">
        <v>5</v>
      </c>
      <c r="C7" s="1">
        <f>+C4</f>
        <v>24767.7</v>
      </c>
    </row>
    <row r="8" spans="1:3" ht="12.75">
      <c r="A8" s="1" t="s">
        <v>6</v>
      </c>
      <c r="C8" s="1">
        <f>+D4</f>
        <v>0.45347</v>
      </c>
    </row>
    <row r="10" spans="3:4" ht="12.75">
      <c r="C10" s="8" t="s">
        <v>7</v>
      </c>
      <c r="D10" s="8" t="s">
        <v>8</v>
      </c>
    </row>
    <row r="11" spans="1:4" ht="12.75">
      <c r="A11" s="1" t="s">
        <v>9</v>
      </c>
      <c r="C11" s="1">
        <f>INTERCEPT(G23:G92,F23:F92)</f>
        <v>0.4071337025397398</v>
      </c>
      <c r="D11" s="2"/>
    </row>
    <row r="12" spans="1:4" ht="12.75">
      <c r="A12" s="1" t="s">
        <v>10</v>
      </c>
      <c r="C12" s="1">
        <f>SLOPE(G23:G92,F23:F92)</f>
        <v>-5.517631587661214E-06</v>
      </c>
      <c r="D12" s="2"/>
    </row>
    <row r="13" spans="1:4" ht="12.75">
      <c r="A13" s="1" t="s">
        <v>11</v>
      </c>
      <c r="C13" s="2" t="s">
        <v>12</v>
      </c>
      <c r="D13" s="2"/>
    </row>
    <row r="14" ht="12.75">
      <c r="A14" s="1" t="s">
        <v>13</v>
      </c>
    </row>
    <row r="15" spans="1:3" ht="12.75">
      <c r="A15" s="5" t="s">
        <v>14</v>
      </c>
      <c r="C15" s="9">
        <v>52959.5348</v>
      </c>
    </row>
    <row r="16" spans="1:3" ht="12.75">
      <c r="A16" s="5" t="s">
        <v>15</v>
      </c>
      <c r="C16" s="1">
        <f>+C8+C12</f>
        <v>0.4534644823684123</v>
      </c>
    </row>
    <row r="18" spans="1:4" ht="12.75">
      <c r="A18" s="5" t="s">
        <v>16</v>
      </c>
      <c r="C18" s="6">
        <f>+C15</f>
        <v>52959.5348</v>
      </c>
      <c r="D18" s="7">
        <f>+C16</f>
        <v>0.4534644823684123</v>
      </c>
    </row>
    <row r="19" ht="12.75">
      <c r="C19" s="1">
        <f>COUNT(C21:C1050)</f>
        <v>17</v>
      </c>
    </row>
    <row r="20" spans="1:17" ht="12.75">
      <c r="A20" s="8" t="s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23</v>
      </c>
      <c r="H20" s="10" t="s">
        <v>24</v>
      </c>
      <c r="I20" s="10" t="s">
        <v>25</v>
      </c>
      <c r="J20" s="10" t="s">
        <v>26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31</v>
      </c>
      <c r="P20" s="10" t="s">
        <v>32</v>
      </c>
      <c r="Q20" s="8" t="s">
        <v>33</v>
      </c>
    </row>
    <row r="21" spans="1:17" ht="12.75">
      <c r="A21" s="1" t="s">
        <v>24</v>
      </c>
      <c r="C21" s="1">
        <v>24767.7</v>
      </c>
      <c r="D21" s="2" t="s">
        <v>12</v>
      </c>
      <c r="E21" s="1">
        <f aca="true" t="shared" si="0" ref="E21:E37"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Q21" s="11">
        <f aca="true" t="shared" si="1" ref="Q21:Q36">+C21-15018.5</f>
        <v>9749.2</v>
      </c>
    </row>
    <row r="22" spans="1:31" ht="12.75">
      <c r="A22" s="1" t="s">
        <v>34</v>
      </c>
      <c r="C22" s="12">
        <v>43755.398</v>
      </c>
      <c r="D22" s="2"/>
      <c r="E22" s="1">
        <f t="shared" si="0"/>
        <v>41872.0047632699</v>
      </c>
      <c r="F22" s="1">
        <f>ROUND(2*E22,0)/2</f>
        <v>41872</v>
      </c>
      <c r="I22" s="13">
        <v>0.0021600000036414713</v>
      </c>
      <c r="Q22" s="11">
        <f t="shared" si="1"/>
        <v>28736.898</v>
      </c>
      <c r="AA22" s="1">
        <v>9</v>
      </c>
      <c r="AC22" s="1" t="s">
        <v>35</v>
      </c>
      <c r="AE22" s="1" t="s">
        <v>36</v>
      </c>
    </row>
    <row r="23" spans="1:17" ht="12.75">
      <c r="A23" s="1" t="s">
        <v>37</v>
      </c>
      <c r="B23" s="2" t="s">
        <v>38</v>
      </c>
      <c r="C23" s="12">
        <v>45211.406</v>
      </c>
      <c r="D23" s="2"/>
      <c r="E23" s="1">
        <f t="shared" si="0"/>
        <v>45082.819150109164</v>
      </c>
      <c r="F23" s="13">
        <f>ROUND(2*E23,0)/2-0.5</f>
        <v>45082.5</v>
      </c>
      <c r="G23" s="1">
        <f aca="true" t="shared" si="2" ref="G23:G37">+C23-(C$7+F23*C$8)</f>
        <v>0.14472500000556465</v>
      </c>
      <c r="J23" s="1">
        <f>G23</f>
        <v>0.14472500000556465</v>
      </c>
      <c r="O23" s="1">
        <f aca="true" t="shared" si="3" ref="O23:O36">+C$11+C$12*F23</f>
        <v>0.1583850764890031</v>
      </c>
      <c r="Q23" s="11">
        <f t="shared" si="1"/>
        <v>30192.906000000003</v>
      </c>
    </row>
    <row r="24" spans="1:17" ht="12.75">
      <c r="A24" s="1" t="s">
        <v>39</v>
      </c>
      <c r="B24" s="14"/>
      <c r="C24" s="15">
        <v>49545.4104</v>
      </c>
      <c r="D24" s="16"/>
      <c r="E24" s="1">
        <f t="shared" si="0"/>
        <v>54640.2416918429</v>
      </c>
      <c r="F24" s="1">
        <f aca="true" t="shared" si="4" ref="F24:F37">ROUND(2*E24,0)/2</f>
        <v>54640</v>
      </c>
      <c r="G24" s="1">
        <f t="shared" si="2"/>
        <v>0.10960000000341097</v>
      </c>
      <c r="J24" s="1">
        <f>G24</f>
        <v>0.10960000000341097</v>
      </c>
      <c r="O24" s="1">
        <f t="shared" si="3"/>
        <v>0.10565031258993107</v>
      </c>
      <c r="Q24" s="11">
        <f t="shared" si="1"/>
        <v>34526.9104</v>
      </c>
    </row>
    <row r="25" spans="1:17" ht="12.75">
      <c r="A25" s="1" t="s">
        <v>39</v>
      </c>
      <c r="B25" s="17" t="s">
        <v>38</v>
      </c>
      <c r="C25" s="15">
        <v>49645.393</v>
      </c>
      <c r="D25" s="16"/>
      <c r="E25" s="1">
        <f t="shared" si="0"/>
        <v>54860.725075528695</v>
      </c>
      <c r="F25" s="1">
        <f t="shared" si="4"/>
        <v>54860.5</v>
      </c>
      <c r="G25" s="1">
        <f t="shared" si="2"/>
        <v>0.10206499999912921</v>
      </c>
      <c r="J25" s="1">
        <f>G25</f>
        <v>0.10206499999912921</v>
      </c>
      <c r="O25" s="1">
        <f t="shared" si="3"/>
        <v>0.10443367482485177</v>
      </c>
      <c r="Q25" s="11">
        <f t="shared" si="1"/>
        <v>34626.893</v>
      </c>
    </row>
    <row r="26" spans="1:17" ht="12.75">
      <c r="A26" s="1" t="s">
        <v>39</v>
      </c>
      <c r="B26" s="17" t="s">
        <v>38</v>
      </c>
      <c r="C26" s="15">
        <v>49646.3054</v>
      </c>
      <c r="D26" s="16"/>
      <c r="E26" s="1">
        <f t="shared" si="0"/>
        <v>54862.73711601649</v>
      </c>
      <c r="F26" s="1">
        <f t="shared" si="4"/>
        <v>54862.5</v>
      </c>
      <c r="G26" s="1">
        <f t="shared" si="2"/>
        <v>0.1075249999994412</v>
      </c>
      <c r="J26" s="1">
        <f>G26</f>
        <v>0.1075249999994412</v>
      </c>
      <c r="O26" s="1">
        <f t="shared" si="3"/>
        <v>0.10442263956167641</v>
      </c>
      <c r="Q26" s="11">
        <f t="shared" si="1"/>
        <v>34627.8054</v>
      </c>
    </row>
    <row r="27" spans="1:17" ht="12.75">
      <c r="A27" s="1" t="s">
        <v>40</v>
      </c>
      <c r="B27" s="2" t="s">
        <v>41</v>
      </c>
      <c r="C27" s="12">
        <v>49905.4633</v>
      </c>
      <c r="D27" s="2"/>
      <c r="E27" s="1">
        <f t="shared" si="0"/>
        <v>55434.236663946904</v>
      </c>
      <c r="F27" s="1">
        <f t="shared" si="4"/>
        <v>55434</v>
      </c>
      <c r="G27" s="1">
        <f t="shared" si="2"/>
        <v>0.10732000000280095</v>
      </c>
      <c r="J27" s="1">
        <f>G27</f>
        <v>0.10732000000280095</v>
      </c>
      <c r="O27" s="1">
        <f t="shared" si="3"/>
        <v>0.10126931310932807</v>
      </c>
      <c r="Q27" s="11">
        <f t="shared" si="1"/>
        <v>34886.9633</v>
      </c>
    </row>
    <row r="28" spans="1:31" ht="12.75">
      <c r="A28" s="1" t="s">
        <v>42</v>
      </c>
      <c r="C28" s="12">
        <v>50392.257</v>
      </c>
      <c r="D28" s="1">
        <v>0.0004</v>
      </c>
      <c r="E28" s="1">
        <f t="shared" si="0"/>
        <v>56507.72267184157</v>
      </c>
      <c r="F28" s="1">
        <f t="shared" si="4"/>
        <v>56507.5</v>
      </c>
      <c r="G28" s="1">
        <f t="shared" si="2"/>
        <v>0.10097499999392312</v>
      </c>
      <c r="I28" s="1">
        <f>G28</f>
        <v>0.10097499999392312</v>
      </c>
      <c r="O28" s="1">
        <f t="shared" si="3"/>
        <v>0.09534613559997374</v>
      </c>
      <c r="Q28" s="11">
        <f t="shared" si="1"/>
        <v>35373.757</v>
      </c>
      <c r="AA28" s="1">
        <v>23</v>
      </c>
      <c r="AC28" s="1" t="s">
        <v>43</v>
      </c>
      <c r="AE28" s="1" t="s">
        <v>36</v>
      </c>
    </row>
    <row r="29" spans="1:17" ht="12.75">
      <c r="A29" s="1" t="s">
        <v>39</v>
      </c>
      <c r="B29" s="17" t="s">
        <v>38</v>
      </c>
      <c r="C29" s="15">
        <v>50653.4538</v>
      </c>
      <c r="D29" s="16"/>
      <c r="E29" s="1">
        <f t="shared" si="0"/>
        <v>57083.718437823896</v>
      </c>
      <c r="F29" s="1">
        <f t="shared" si="4"/>
        <v>57083.5</v>
      </c>
      <c r="G29" s="1">
        <f t="shared" si="2"/>
        <v>0.09905499999877065</v>
      </c>
      <c r="J29" s="1">
        <f aca="true" t="shared" si="5" ref="J29:J36">G29</f>
        <v>0.09905499999877065</v>
      </c>
      <c r="O29" s="1">
        <f t="shared" si="3"/>
        <v>0.09216797980548086</v>
      </c>
      <c r="Q29" s="11">
        <f t="shared" si="1"/>
        <v>35634.9538</v>
      </c>
    </row>
    <row r="30" spans="1:17" ht="12.75">
      <c r="A30" s="1" t="s">
        <v>44</v>
      </c>
      <c r="B30" s="2" t="s">
        <v>41</v>
      </c>
      <c r="C30" s="1">
        <v>51404.6176</v>
      </c>
      <c r="D30" s="2">
        <v>0.0031</v>
      </c>
      <c r="E30" s="1">
        <f t="shared" si="0"/>
        <v>58740.19802853551</v>
      </c>
      <c r="F30" s="1">
        <f t="shared" si="4"/>
        <v>58740</v>
      </c>
      <c r="G30" s="1">
        <f t="shared" si="2"/>
        <v>0.08980000000155997</v>
      </c>
      <c r="J30" s="1">
        <f t="shared" si="5"/>
        <v>0.08980000000155997</v>
      </c>
      <c r="O30" s="1">
        <f t="shared" si="3"/>
        <v>0.0830280230805201</v>
      </c>
      <c r="Q30" s="11">
        <f t="shared" si="1"/>
        <v>36386.1176</v>
      </c>
    </row>
    <row r="31" spans="1:17" ht="12.75">
      <c r="A31" s="1" t="s">
        <v>39</v>
      </c>
      <c r="B31" s="17" t="s">
        <v>38</v>
      </c>
      <c r="C31" s="15">
        <v>51413.4598</v>
      </c>
      <c r="D31" s="15">
        <v>0.0005</v>
      </c>
      <c r="E31" s="1">
        <f t="shared" si="0"/>
        <v>58759.69700310935</v>
      </c>
      <c r="F31" s="1">
        <f t="shared" si="4"/>
        <v>58759.5</v>
      </c>
      <c r="G31" s="1">
        <f t="shared" si="2"/>
        <v>0.08933499999693595</v>
      </c>
      <c r="J31" s="1">
        <f t="shared" si="5"/>
        <v>0.08933499999693595</v>
      </c>
      <c r="O31" s="1">
        <f t="shared" si="3"/>
        <v>0.08292042926456067</v>
      </c>
      <c r="Q31" s="11">
        <f t="shared" si="1"/>
        <v>36394.9598</v>
      </c>
    </row>
    <row r="32" spans="1:17" ht="12.75">
      <c r="A32" s="18" t="s">
        <v>45</v>
      </c>
      <c r="B32" s="19"/>
      <c r="C32" s="20">
        <v>52137.4143</v>
      </c>
      <c r="D32" s="20">
        <v>0.0008</v>
      </c>
      <c r="E32" s="1">
        <f t="shared" si="0"/>
        <v>60356.17416808168</v>
      </c>
      <c r="F32" s="1">
        <f t="shared" si="4"/>
        <v>60356</v>
      </c>
      <c r="G32" s="1">
        <f t="shared" si="2"/>
        <v>0.07897999999840977</v>
      </c>
      <c r="J32" s="1">
        <f t="shared" si="5"/>
        <v>0.07897999999840977</v>
      </c>
      <c r="O32" s="1">
        <f t="shared" si="3"/>
        <v>0.07411153043485957</v>
      </c>
      <c r="Q32" s="11">
        <f t="shared" si="1"/>
        <v>37118.9143</v>
      </c>
    </row>
    <row r="33" spans="1:17" ht="12.75">
      <c r="A33" s="21" t="s">
        <v>39</v>
      </c>
      <c r="B33" s="22"/>
      <c r="C33" s="15">
        <v>52448.4886</v>
      </c>
      <c r="D33" s="15">
        <v>0.0049</v>
      </c>
      <c r="E33" s="1">
        <f t="shared" si="0"/>
        <v>61042.160672150305</v>
      </c>
      <c r="F33" s="1">
        <f t="shared" si="4"/>
        <v>61042</v>
      </c>
      <c r="G33" s="1">
        <f t="shared" si="2"/>
        <v>0.07286000000021886</v>
      </c>
      <c r="J33" s="1">
        <f t="shared" si="5"/>
        <v>0.07286000000021886</v>
      </c>
      <c r="O33" s="1">
        <f t="shared" si="3"/>
        <v>0.07032643516572396</v>
      </c>
      <c r="Q33" s="11">
        <f t="shared" si="1"/>
        <v>37429.9886</v>
      </c>
    </row>
    <row r="34" spans="1:17" ht="12.75">
      <c r="A34" s="23" t="s">
        <v>46</v>
      </c>
      <c r="B34" s="2" t="s">
        <v>38</v>
      </c>
      <c r="C34" s="24">
        <v>52831.4314</v>
      </c>
      <c r="D34" s="25">
        <v>0.0003</v>
      </c>
      <c r="E34" s="1">
        <f t="shared" si="0"/>
        <v>61886.632853330986</v>
      </c>
      <c r="F34" s="1">
        <f t="shared" si="4"/>
        <v>61886.5</v>
      </c>
      <c r="G34" s="1">
        <f t="shared" si="2"/>
        <v>0.06024500000057742</v>
      </c>
      <c r="J34" s="1">
        <f t="shared" si="5"/>
        <v>0.06024500000057742</v>
      </c>
      <c r="O34" s="1">
        <f t="shared" si="3"/>
        <v>0.06566679528994407</v>
      </c>
      <c r="Q34" s="11">
        <f t="shared" si="1"/>
        <v>37812.9314</v>
      </c>
    </row>
    <row r="35" spans="1:17" ht="12.75">
      <c r="A35" s="23" t="s">
        <v>46</v>
      </c>
      <c r="B35" s="22"/>
      <c r="C35" s="24">
        <v>52833.4738</v>
      </c>
      <c r="D35" s="25">
        <v>0.0003</v>
      </c>
      <c r="E35" s="1">
        <f t="shared" si="0"/>
        <v>61891.1367896443</v>
      </c>
      <c r="F35" s="1">
        <f t="shared" si="4"/>
        <v>61891</v>
      </c>
      <c r="G35" s="1">
        <f t="shared" si="2"/>
        <v>0.06203000000095926</v>
      </c>
      <c r="J35" s="1">
        <f t="shared" si="5"/>
        <v>0.06203000000095926</v>
      </c>
      <c r="O35" s="1">
        <f t="shared" si="3"/>
        <v>0.06564196594779959</v>
      </c>
      <c r="Q35" s="11">
        <f t="shared" si="1"/>
        <v>37814.9738</v>
      </c>
    </row>
    <row r="36" spans="1:17" ht="12.75">
      <c r="A36" s="18" t="s">
        <v>47</v>
      </c>
      <c r="B36" s="19" t="s">
        <v>41</v>
      </c>
      <c r="C36" s="9">
        <v>52959.5348</v>
      </c>
      <c r="D36" s="20">
        <v>0.0006</v>
      </c>
      <c r="E36" s="1">
        <f t="shared" si="0"/>
        <v>62169.12871854809</v>
      </c>
      <c r="F36" s="1">
        <f t="shared" si="4"/>
        <v>62169</v>
      </c>
      <c r="G36" s="1">
        <f t="shared" si="2"/>
        <v>0.05837000000610715</v>
      </c>
      <c r="J36" s="1">
        <f t="shared" si="5"/>
        <v>0.05837000000610715</v>
      </c>
      <c r="O36" s="1">
        <f t="shared" si="3"/>
        <v>0.0641080643664298</v>
      </c>
      <c r="Q36" s="11">
        <f t="shared" si="1"/>
        <v>37941.0348</v>
      </c>
    </row>
    <row r="37" spans="1:17" ht="12.75">
      <c r="A37" s="26" t="s">
        <v>48</v>
      </c>
      <c r="B37" s="27"/>
      <c r="C37" s="20">
        <v>54031.7419</v>
      </c>
      <c r="D37" s="28">
        <v>0.0002</v>
      </c>
      <c r="E37" s="1">
        <f t="shared" si="0"/>
        <v>64533.57862703156</v>
      </c>
      <c r="F37" s="1">
        <f t="shared" si="4"/>
        <v>64533.5</v>
      </c>
      <c r="G37" s="1">
        <f t="shared" si="2"/>
        <v>0.035654999999678694</v>
      </c>
      <c r="K37" s="1">
        <f>G37</f>
        <v>0.035654999999678694</v>
      </c>
      <c r="O37" s="1">
        <f>+C$11+C$12*F37</f>
        <v>0.05106162447740481</v>
      </c>
      <c r="Q37" s="11">
        <f>+C37-15018.5</f>
        <v>39013.2419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4">
      <selection activeCell="A55" sqref="A55"/>
    </sheetView>
  </sheetViews>
  <sheetFormatPr defaultColWidth="9.140625" defaultRowHeight="12.75"/>
  <cols>
    <col min="1" max="1" width="19.7109375" style="14" customWidth="1"/>
    <col min="2" max="2" width="4.421875" style="0" customWidth="1"/>
    <col min="3" max="3" width="12.7109375" style="14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14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29" t="s">
        <v>49</v>
      </c>
      <c r="I1" s="30" t="s">
        <v>50</v>
      </c>
      <c r="J1" s="31" t="s">
        <v>51</v>
      </c>
    </row>
    <row r="2" spans="9:10" ht="12.75">
      <c r="I2" s="32" t="s">
        <v>52</v>
      </c>
      <c r="J2" s="33" t="s">
        <v>53</v>
      </c>
    </row>
    <row r="3" spans="1:10" ht="12.75">
      <c r="A3" s="34" t="s">
        <v>54</v>
      </c>
      <c r="I3" s="32" t="s">
        <v>55</v>
      </c>
      <c r="J3" s="33" t="s">
        <v>56</v>
      </c>
    </row>
    <row r="4" spans="9:10" ht="12.75">
      <c r="I4" s="32" t="s">
        <v>57</v>
      </c>
      <c r="J4" s="33" t="s">
        <v>56</v>
      </c>
    </row>
    <row r="5" spans="9:10" ht="12.75">
      <c r="I5" s="35" t="s">
        <v>58</v>
      </c>
      <c r="J5" s="36" t="s">
        <v>59</v>
      </c>
    </row>
    <row r="11" spans="1:16" ht="12.75" customHeight="1">
      <c r="A11" s="14" t="str">
        <f aca="true" t="shared" si="0" ref="A11:A42">P11</f>
        <v> BBS 39 </v>
      </c>
      <c r="B11" s="2" t="str">
        <f aca="true" t="shared" si="1" ref="B11:B42">IF(H11=INT(H11),"I","II")</f>
        <v>I</v>
      </c>
      <c r="C11" s="14">
        <f aca="true" t="shared" si="2" ref="C11:C42">1*G11</f>
        <v>43755.398</v>
      </c>
      <c r="D11" t="str">
        <f aca="true" t="shared" si="3" ref="D11:D42">VLOOKUP(F11,I$1:J$5,2,FALSE)</f>
        <v>vis</v>
      </c>
      <c r="E11">
        <f>VLOOKUP(C11,Active!C$21:E$970,3,FALSE)</f>
        <v>-20297.37092512176</v>
      </c>
      <c r="F11" s="2" t="s">
        <v>58</v>
      </c>
      <c r="G11" t="str">
        <f aca="true" t="shared" si="4" ref="G11:G42">MID(I11,3,LEN(I11)-3)</f>
        <v>43755.398</v>
      </c>
      <c r="H11" s="14">
        <f aca="true" t="shared" si="5" ref="H11:H42">1*K11</f>
        <v>41872</v>
      </c>
      <c r="I11" s="37" t="s">
        <v>60</v>
      </c>
      <c r="J11" s="38" t="s">
        <v>61</v>
      </c>
      <c r="K11" s="37">
        <v>41872</v>
      </c>
      <c r="L11" s="37" t="s">
        <v>62</v>
      </c>
      <c r="M11" s="38" t="s">
        <v>63</v>
      </c>
      <c r="N11" s="38"/>
      <c r="O11" s="39" t="s">
        <v>64</v>
      </c>
      <c r="P11" s="39" t="s">
        <v>65</v>
      </c>
    </row>
    <row r="12" spans="1:16" ht="12.75" customHeight="1">
      <c r="A12" s="14" t="str">
        <f t="shared" si="0"/>
        <v>BAVM 158 </v>
      </c>
      <c r="B12" s="2" t="str">
        <f t="shared" si="1"/>
        <v>I</v>
      </c>
      <c r="C12" s="14">
        <f t="shared" si="2"/>
        <v>49545.4104</v>
      </c>
      <c r="D12" t="str">
        <f t="shared" si="3"/>
        <v>vis</v>
      </c>
      <c r="E12">
        <f>VLOOKUP(C12,Active!C$21:E$970,3,FALSE)</f>
        <v>-7528.978636139869</v>
      </c>
      <c r="F12" s="2" t="s">
        <v>58</v>
      </c>
      <c r="G12" t="str">
        <f t="shared" si="4"/>
        <v>49545.4104</v>
      </c>
      <c r="H12" s="14">
        <f t="shared" si="5"/>
        <v>54640</v>
      </c>
      <c r="I12" s="37" t="s">
        <v>66</v>
      </c>
      <c r="J12" s="38" t="s">
        <v>67</v>
      </c>
      <c r="K12" s="37">
        <v>54640</v>
      </c>
      <c r="L12" s="37" t="s">
        <v>68</v>
      </c>
      <c r="M12" s="38" t="s">
        <v>69</v>
      </c>
      <c r="N12" s="38" t="s">
        <v>70</v>
      </c>
      <c r="O12" s="39" t="s">
        <v>71</v>
      </c>
      <c r="P12" s="40" t="s">
        <v>72</v>
      </c>
    </row>
    <row r="13" spans="1:16" ht="12.75" customHeight="1">
      <c r="A13" s="14" t="str">
        <f t="shared" si="0"/>
        <v>BAVM 158 </v>
      </c>
      <c r="B13" s="2" t="str">
        <f t="shared" si="1"/>
        <v>I</v>
      </c>
      <c r="C13" s="14">
        <f t="shared" si="2"/>
        <v>49645.393</v>
      </c>
      <c r="D13" t="str">
        <f t="shared" si="3"/>
        <v>vis</v>
      </c>
      <c r="E13">
        <f>VLOOKUP(C13,Active!C$21:E$970,3,FALSE)</f>
        <v>-7308.4925696726705</v>
      </c>
      <c r="F13" s="2" t="s">
        <v>58</v>
      </c>
      <c r="G13" t="str">
        <f t="shared" si="4"/>
        <v>49645.3930</v>
      </c>
      <c r="H13" s="14">
        <f t="shared" si="5"/>
        <v>54861</v>
      </c>
      <c r="I13" s="37" t="s">
        <v>73</v>
      </c>
      <c r="J13" s="38" t="s">
        <v>74</v>
      </c>
      <c r="K13" s="37">
        <v>54861</v>
      </c>
      <c r="L13" s="37" t="s">
        <v>75</v>
      </c>
      <c r="M13" s="38" t="s">
        <v>69</v>
      </c>
      <c r="N13" s="38" t="s">
        <v>70</v>
      </c>
      <c r="O13" s="39" t="s">
        <v>71</v>
      </c>
      <c r="P13" s="40" t="s">
        <v>72</v>
      </c>
    </row>
    <row r="14" spans="1:16" ht="12.75" customHeight="1">
      <c r="A14" s="14" t="str">
        <f t="shared" si="0"/>
        <v>BAVM 158 </v>
      </c>
      <c r="B14" s="2" t="str">
        <f t="shared" si="1"/>
        <v>I</v>
      </c>
      <c r="C14" s="14">
        <f t="shared" si="2"/>
        <v>49646.3054</v>
      </c>
      <c r="D14" t="str">
        <f t="shared" si="3"/>
        <v>vis</v>
      </c>
      <c r="E14">
        <f>VLOOKUP(C14,Active!C$21:E$970,3,FALSE)</f>
        <v>-7306.480504702917</v>
      </c>
      <c r="F14" s="2" t="s">
        <v>58</v>
      </c>
      <c r="G14" t="str">
        <f t="shared" si="4"/>
        <v>49646.3054</v>
      </c>
      <c r="H14" s="14">
        <f t="shared" si="5"/>
        <v>54863</v>
      </c>
      <c r="I14" s="37" t="s">
        <v>76</v>
      </c>
      <c r="J14" s="38" t="s">
        <v>77</v>
      </c>
      <c r="K14" s="37">
        <v>54863</v>
      </c>
      <c r="L14" s="37" t="s">
        <v>78</v>
      </c>
      <c r="M14" s="38" t="s">
        <v>69</v>
      </c>
      <c r="N14" s="38" t="s">
        <v>70</v>
      </c>
      <c r="O14" s="39" t="s">
        <v>71</v>
      </c>
      <c r="P14" s="40" t="s">
        <v>72</v>
      </c>
    </row>
    <row r="15" spans="1:16" ht="12.75" customHeight="1">
      <c r="A15" s="14" t="str">
        <f t="shared" si="0"/>
        <v>BAVM 91 </v>
      </c>
      <c r="B15" s="2" t="str">
        <f t="shared" si="1"/>
        <v>I</v>
      </c>
      <c r="C15" s="14">
        <f t="shared" si="2"/>
        <v>49905.4633</v>
      </c>
      <c r="D15" t="str">
        <f t="shared" si="3"/>
        <v>vis</v>
      </c>
      <c r="E15">
        <f>VLOOKUP(C15,Active!C$21:E$970,3,FALSE)</f>
        <v>-6734.974002922572</v>
      </c>
      <c r="F15" s="2" t="s">
        <v>58</v>
      </c>
      <c r="G15" t="str">
        <f t="shared" si="4"/>
        <v>49905.4633</v>
      </c>
      <c r="H15" s="14">
        <f t="shared" si="5"/>
        <v>55434</v>
      </c>
      <c r="I15" s="37" t="s">
        <v>79</v>
      </c>
      <c r="J15" s="38" t="s">
        <v>80</v>
      </c>
      <c r="K15" s="37">
        <v>55434</v>
      </c>
      <c r="L15" s="37" t="s">
        <v>81</v>
      </c>
      <c r="M15" s="38" t="s">
        <v>69</v>
      </c>
      <c r="N15" s="38" t="s">
        <v>70</v>
      </c>
      <c r="O15" s="39" t="s">
        <v>71</v>
      </c>
      <c r="P15" s="40" t="s">
        <v>82</v>
      </c>
    </row>
    <row r="16" spans="1:16" ht="12.75" customHeight="1">
      <c r="A16" s="14" t="str">
        <f t="shared" si="0"/>
        <v> BBS 114 </v>
      </c>
      <c r="B16" s="2" t="str">
        <f t="shared" si="1"/>
        <v>I</v>
      </c>
      <c r="C16" s="14">
        <f t="shared" si="2"/>
        <v>50392.257</v>
      </c>
      <c r="D16" t="str">
        <f t="shared" si="3"/>
        <v>vis</v>
      </c>
      <c r="E16">
        <f>VLOOKUP(C16,Active!C$21:E$970,3,FALSE)</f>
        <v>-5661.47493314426</v>
      </c>
      <c r="F16" s="2" t="s">
        <v>58</v>
      </c>
      <c r="G16" t="str">
        <f t="shared" si="4"/>
        <v>50392.2570</v>
      </c>
      <c r="H16" s="14">
        <f t="shared" si="5"/>
        <v>56508</v>
      </c>
      <c r="I16" s="37" t="s">
        <v>83</v>
      </c>
      <c r="J16" s="38" t="s">
        <v>84</v>
      </c>
      <c r="K16" s="37">
        <v>56508</v>
      </c>
      <c r="L16" s="37" t="s">
        <v>85</v>
      </c>
      <c r="M16" s="38" t="s">
        <v>69</v>
      </c>
      <c r="N16" s="38" t="s">
        <v>86</v>
      </c>
      <c r="O16" s="39" t="s">
        <v>87</v>
      </c>
      <c r="P16" s="39" t="s">
        <v>88</v>
      </c>
    </row>
    <row r="17" spans="1:16" ht="12.75" customHeight="1">
      <c r="A17" s="14" t="str">
        <f t="shared" si="0"/>
        <v>BAVM 158 </v>
      </c>
      <c r="B17" s="2" t="str">
        <f t="shared" si="1"/>
        <v>I</v>
      </c>
      <c r="C17" s="14">
        <f t="shared" si="2"/>
        <v>50653.4538</v>
      </c>
      <c r="D17" t="str">
        <f t="shared" si="3"/>
        <v>vis</v>
      </c>
      <c r="E17">
        <f>VLOOKUP(C17,Active!C$21:E$970,3,FALSE)</f>
        <v>-5085.472158603257</v>
      </c>
      <c r="F17" s="2" t="s">
        <v>58</v>
      </c>
      <c r="G17" t="str">
        <f t="shared" si="4"/>
        <v>50653.4538</v>
      </c>
      <c r="H17" s="14">
        <f t="shared" si="5"/>
        <v>57084</v>
      </c>
      <c r="I17" s="37" t="s">
        <v>89</v>
      </c>
      <c r="J17" s="38" t="s">
        <v>90</v>
      </c>
      <c r="K17" s="37">
        <v>57084</v>
      </c>
      <c r="L17" s="37" t="s">
        <v>91</v>
      </c>
      <c r="M17" s="38" t="s">
        <v>69</v>
      </c>
      <c r="N17" s="38" t="s">
        <v>70</v>
      </c>
      <c r="O17" s="39" t="s">
        <v>71</v>
      </c>
      <c r="P17" s="40" t="s">
        <v>72</v>
      </c>
    </row>
    <row r="18" spans="1:16" ht="12.75" customHeight="1">
      <c r="A18" s="14" t="str">
        <f t="shared" si="0"/>
        <v>IBVS 5263 </v>
      </c>
      <c r="B18" s="2" t="str">
        <f t="shared" si="1"/>
        <v>I</v>
      </c>
      <c r="C18" s="14">
        <f t="shared" si="2"/>
        <v>51404.6176</v>
      </c>
      <c r="D18" t="str">
        <f t="shared" si="3"/>
        <v>vis</v>
      </c>
      <c r="E18">
        <f>VLOOKUP(C18,Active!C$21:E$970,3,FALSE)</f>
        <v>-3428.9724123018036</v>
      </c>
      <c r="F18" s="2" t="s">
        <v>58</v>
      </c>
      <c r="G18" t="str">
        <f t="shared" si="4"/>
        <v>51404.6176</v>
      </c>
      <c r="H18" s="14">
        <f t="shared" si="5"/>
        <v>58740</v>
      </c>
      <c r="I18" s="37" t="s">
        <v>92</v>
      </c>
      <c r="J18" s="38" t="s">
        <v>93</v>
      </c>
      <c r="K18" s="37">
        <v>58740</v>
      </c>
      <c r="L18" s="37" t="s">
        <v>94</v>
      </c>
      <c r="M18" s="38" t="s">
        <v>69</v>
      </c>
      <c r="N18" s="38" t="s">
        <v>86</v>
      </c>
      <c r="O18" s="39" t="s">
        <v>95</v>
      </c>
      <c r="P18" s="40" t="s">
        <v>96</v>
      </c>
    </row>
    <row r="19" spans="1:16" ht="12.75" customHeight="1">
      <c r="A19" s="14" t="str">
        <f t="shared" si="0"/>
        <v>BAVM 158 </v>
      </c>
      <c r="B19" s="2" t="str">
        <f t="shared" si="1"/>
        <v>II</v>
      </c>
      <c r="C19" s="14">
        <f t="shared" si="2"/>
        <v>51413.4598</v>
      </c>
      <c r="D19" t="str">
        <f t="shared" si="3"/>
        <v>vis</v>
      </c>
      <c r="E19">
        <f>VLOOKUP(C19,Active!C$21:E$970,3,FALSE)</f>
        <v>-3409.4732004697835</v>
      </c>
      <c r="F19" s="2" t="s">
        <v>58</v>
      </c>
      <c r="G19" t="str">
        <f t="shared" si="4"/>
        <v>51413.4598</v>
      </c>
      <c r="H19" s="14">
        <f t="shared" si="5"/>
        <v>58759.5</v>
      </c>
      <c r="I19" s="37" t="s">
        <v>97</v>
      </c>
      <c r="J19" s="38" t="s">
        <v>98</v>
      </c>
      <c r="K19" s="37">
        <v>58759.5</v>
      </c>
      <c r="L19" s="37" t="s">
        <v>99</v>
      </c>
      <c r="M19" s="38" t="s">
        <v>69</v>
      </c>
      <c r="N19" s="38" t="s">
        <v>70</v>
      </c>
      <c r="O19" s="39" t="s">
        <v>100</v>
      </c>
      <c r="P19" s="40" t="s">
        <v>72</v>
      </c>
    </row>
    <row r="20" spans="1:16" ht="12.75" customHeight="1">
      <c r="A20" s="14" t="str">
        <f t="shared" si="0"/>
        <v>OEJV 0074 </v>
      </c>
      <c r="B20" s="2" t="str">
        <f t="shared" si="1"/>
        <v>I</v>
      </c>
      <c r="C20" s="14">
        <f t="shared" si="2"/>
        <v>51782.35249</v>
      </c>
      <c r="D20" t="str">
        <f t="shared" si="3"/>
        <v>vis</v>
      </c>
      <c r="E20">
        <f>VLOOKUP(C20,Active!C$21:E$970,3,FALSE)</f>
        <v>-2595.974670059418</v>
      </c>
      <c r="F20" s="2" t="s">
        <v>58</v>
      </c>
      <c r="G20" t="str">
        <f t="shared" si="4"/>
        <v>51782.35249</v>
      </c>
      <c r="H20" s="14">
        <f t="shared" si="5"/>
        <v>59573</v>
      </c>
      <c r="I20" s="37" t="s">
        <v>101</v>
      </c>
      <c r="J20" s="38" t="s">
        <v>102</v>
      </c>
      <c r="K20" s="37">
        <v>59573</v>
      </c>
      <c r="L20" s="37" t="s">
        <v>103</v>
      </c>
      <c r="M20" s="38" t="s">
        <v>104</v>
      </c>
      <c r="N20" s="38" t="s">
        <v>70</v>
      </c>
      <c r="O20" s="39" t="s">
        <v>105</v>
      </c>
      <c r="P20" s="40" t="s">
        <v>106</v>
      </c>
    </row>
    <row r="21" spans="1:16" ht="12.75" customHeight="1">
      <c r="A21" s="14" t="str">
        <f t="shared" si="0"/>
        <v>BAVM 152 </v>
      </c>
      <c r="B21" s="2" t="str">
        <f t="shared" si="1"/>
        <v>I</v>
      </c>
      <c r="C21" s="14">
        <f t="shared" si="2"/>
        <v>52137.4143</v>
      </c>
      <c r="D21" t="str">
        <f t="shared" si="3"/>
        <v>vis</v>
      </c>
      <c r="E21">
        <f>VLOOKUP(C21,Active!C$21:E$970,3,FALSE)</f>
        <v>-1812.9766100006962</v>
      </c>
      <c r="F21" s="2" t="s">
        <v>58</v>
      </c>
      <c r="G21" t="str">
        <f t="shared" si="4"/>
        <v>52137.4143</v>
      </c>
      <c r="H21" s="14">
        <f t="shared" si="5"/>
        <v>60356</v>
      </c>
      <c r="I21" s="37" t="s">
        <v>107</v>
      </c>
      <c r="J21" s="38" t="s">
        <v>108</v>
      </c>
      <c r="K21" s="37">
        <v>60356</v>
      </c>
      <c r="L21" s="37" t="s">
        <v>109</v>
      </c>
      <c r="M21" s="38" t="s">
        <v>69</v>
      </c>
      <c r="N21" s="38" t="s">
        <v>70</v>
      </c>
      <c r="O21" s="39" t="s">
        <v>100</v>
      </c>
      <c r="P21" s="40" t="s">
        <v>110</v>
      </c>
    </row>
    <row r="22" spans="1:16" ht="12.75" customHeight="1">
      <c r="A22" s="14" t="str">
        <f t="shared" si="0"/>
        <v>BAVM 158 </v>
      </c>
      <c r="B22" s="2" t="str">
        <f t="shared" si="1"/>
        <v>I</v>
      </c>
      <c r="C22" s="14">
        <f t="shared" si="2"/>
        <v>52448.4886</v>
      </c>
      <c r="D22" t="str">
        <f t="shared" si="3"/>
        <v>vis</v>
      </c>
      <c r="E22">
        <f>VLOOKUP(C22,Active!C$21:E$970,3,FALSE)</f>
        <v>-1126.9817590362245</v>
      </c>
      <c r="F22" s="2" t="s">
        <v>58</v>
      </c>
      <c r="G22" t="str">
        <f t="shared" si="4"/>
        <v>52448.4886</v>
      </c>
      <c r="H22" s="14">
        <f t="shared" si="5"/>
        <v>61042</v>
      </c>
      <c r="I22" s="37" t="s">
        <v>111</v>
      </c>
      <c r="J22" s="38" t="s">
        <v>112</v>
      </c>
      <c r="K22" s="37">
        <v>61042</v>
      </c>
      <c r="L22" s="37" t="s">
        <v>113</v>
      </c>
      <c r="M22" s="38" t="s">
        <v>69</v>
      </c>
      <c r="N22" s="38" t="s">
        <v>114</v>
      </c>
      <c r="O22" s="39" t="s">
        <v>115</v>
      </c>
      <c r="P22" s="40" t="s">
        <v>72</v>
      </c>
    </row>
    <row r="23" spans="1:16" ht="12.75" customHeight="1">
      <c r="A23" s="14" t="str">
        <f t="shared" si="0"/>
        <v>BAVM 172 </v>
      </c>
      <c r="B23" s="2" t="str">
        <f t="shared" si="1"/>
        <v>II</v>
      </c>
      <c r="C23" s="14">
        <f t="shared" si="2"/>
        <v>52831.4314</v>
      </c>
      <c r="D23" t="str">
        <f t="shared" si="3"/>
        <v>vis</v>
      </c>
      <c r="E23">
        <f>VLOOKUP(C23,Active!C$21:E$970,3,FALSE)</f>
        <v>-282.4993025493973</v>
      </c>
      <c r="F23" s="2" t="s">
        <v>58</v>
      </c>
      <c r="G23" t="str">
        <f t="shared" si="4"/>
        <v>52831.4314</v>
      </c>
      <c r="H23" s="14">
        <f t="shared" si="5"/>
        <v>61886.5</v>
      </c>
      <c r="I23" s="37" t="s">
        <v>116</v>
      </c>
      <c r="J23" s="38" t="s">
        <v>117</v>
      </c>
      <c r="K23" s="37" t="s">
        <v>118</v>
      </c>
      <c r="L23" s="37" t="s">
        <v>119</v>
      </c>
      <c r="M23" s="38" t="s">
        <v>69</v>
      </c>
      <c r="N23" s="38" t="s">
        <v>114</v>
      </c>
      <c r="O23" s="39" t="s">
        <v>120</v>
      </c>
      <c r="P23" s="40" t="s">
        <v>121</v>
      </c>
    </row>
    <row r="24" spans="1:16" ht="12.75" customHeight="1">
      <c r="A24" s="14" t="str">
        <f t="shared" si="0"/>
        <v>BAVM 172 </v>
      </c>
      <c r="B24" s="2" t="str">
        <f t="shared" si="1"/>
        <v>I</v>
      </c>
      <c r="C24" s="14">
        <f t="shared" si="2"/>
        <v>52833.4738</v>
      </c>
      <c r="D24" t="str">
        <f t="shared" si="3"/>
        <v>vis</v>
      </c>
      <c r="E24">
        <f>VLOOKUP(C24,Active!C$21:E$970,3,FALSE)</f>
        <v>-277.99531143342034</v>
      </c>
      <c r="F24" s="2" t="s">
        <v>58</v>
      </c>
      <c r="G24" t="str">
        <f t="shared" si="4"/>
        <v>52833.4738</v>
      </c>
      <c r="H24" s="14">
        <f t="shared" si="5"/>
        <v>61891</v>
      </c>
      <c r="I24" s="37" t="s">
        <v>122</v>
      </c>
      <c r="J24" s="38" t="s">
        <v>123</v>
      </c>
      <c r="K24" s="37" t="s">
        <v>124</v>
      </c>
      <c r="L24" s="37" t="s">
        <v>125</v>
      </c>
      <c r="M24" s="38" t="s">
        <v>69</v>
      </c>
      <c r="N24" s="38" t="s">
        <v>70</v>
      </c>
      <c r="O24" s="39" t="s">
        <v>126</v>
      </c>
      <c r="P24" s="40" t="s">
        <v>121</v>
      </c>
    </row>
    <row r="25" spans="1:16" ht="12.75" customHeight="1">
      <c r="A25" s="14" t="str">
        <f t="shared" si="0"/>
        <v>OEJV 0074 </v>
      </c>
      <c r="B25" s="2" t="str">
        <f t="shared" si="1"/>
        <v>II</v>
      </c>
      <c r="C25" s="14">
        <f t="shared" si="2"/>
        <v>52874.5141</v>
      </c>
      <c r="D25" t="str">
        <f t="shared" si="3"/>
        <v>vis</v>
      </c>
      <c r="E25">
        <f>VLOOKUP(C25,Active!C$21:E$970,3,FALSE)</f>
        <v>-187.49142062007581</v>
      </c>
      <c r="F25" s="2" t="s">
        <v>58</v>
      </c>
      <c r="G25" t="str">
        <f t="shared" si="4"/>
        <v>52874.51410</v>
      </c>
      <c r="H25" s="14">
        <f t="shared" si="5"/>
        <v>61981.5</v>
      </c>
      <c r="I25" s="37" t="s">
        <v>127</v>
      </c>
      <c r="J25" s="38" t="s">
        <v>128</v>
      </c>
      <c r="K25" s="37" t="s">
        <v>129</v>
      </c>
      <c r="L25" s="37" t="s">
        <v>130</v>
      </c>
      <c r="M25" s="38" t="s">
        <v>104</v>
      </c>
      <c r="N25" s="38" t="s">
        <v>70</v>
      </c>
      <c r="O25" s="39" t="s">
        <v>131</v>
      </c>
      <c r="P25" s="40" t="s">
        <v>106</v>
      </c>
    </row>
    <row r="26" spans="1:16" ht="12.75" customHeight="1">
      <c r="A26" s="14" t="str">
        <f t="shared" si="0"/>
        <v>IBVS 5502 </v>
      </c>
      <c r="B26" s="2" t="str">
        <f t="shared" si="1"/>
        <v>I</v>
      </c>
      <c r="C26" s="14">
        <f t="shared" si="2"/>
        <v>52959.5348</v>
      </c>
      <c r="D26" t="str">
        <f t="shared" si="3"/>
        <v>vis</v>
      </c>
      <c r="E26">
        <f>VLOOKUP(C26,Active!C$21:E$970,3,FALSE)</f>
        <v>0</v>
      </c>
      <c r="F26" s="2" t="s">
        <v>58</v>
      </c>
      <c r="G26" t="str">
        <f t="shared" si="4"/>
        <v>52959.5348</v>
      </c>
      <c r="H26" s="14">
        <f t="shared" si="5"/>
        <v>62169</v>
      </c>
      <c r="I26" s="37" t="s">
        <v>132</v>
      </c>
      <c r="J26" s="38" t="s">
        <v>133</v>
      </c>
      <c r="K26" s="37" t="s">
        <v>134</v>
      </c>
      <c r="L26" s="37" t="s">
        <v>135</v>
      </c>
      <c r="M26" s="38" t="s">
        <v>69</v>
      </c>
      <c r="N26" s="38" t="s">
        <v>86</v>
      </c>
      <c r="O26" s="39" t="s">
        <v>136</v>
      </c>
      <c r="P26" s="40" t="s">
        <v>137</v>
      </c>
    </row>
    <row r="27" spans="1:16" ht="12.75" customHeight="1">
      <c r="A27" s="14" t="str">
        <f t="shared" si="0"/>
        <v>BAVM 173 </v>
      </c>
      <c r="B27" s="2" t="str">
        <f t="shared" si="1"/>
        <v>I</v>
      </c>
      <c r="C27" s="14">
        <f t="shared" si="2"/>
        <v>53209.392</v>
      </c>
      <c r="D27" t="str">
        <f t="shared" si="3"/>
        <v>vis</v>
      </c>
      <c r="E27">
        <f>VLOOKUP(C27,Active!C$21:E$970,3,FALSE)</f>
        <v>550.9961854013625</v>
      </c>
      <c r="F27" s="2" t="s">
        <v>58</v>
      </c>
      <c r="G27" t="str">
        <f t="shared" si="4"/>
        <v>53209.3920</v>
      </c>
      <c r="H27" s="14">
        <f t="shared" si="5"/>
        <v>62720</v>
      </c>
      <c r="I27" s="37" t="s">
        <v>138</v>
      </c>
      <c r="J27" s="38" t="s">
        <v>139</v>
      </c>
      <c r="K27" s="37" t="s">
        <v>140</v>
      </c>
      <c r="L27" s="37" t="s">
        <v>141</v>
      </c>
      <c r="M27" s="38" t="s">
        <v>69</v>
      </c>
      <c r="N27" s="38" t="s">
        <v>70</v>
      </c>
      <c r="O27" s="39" t="s">
        <v>100</v>
      </c>
      <c r="P27" s="40" t="s">
        <v>142</v>
      </c>
    </row>
    <row r="28" spans="1:16" ht="12.75" customHeight="1">
      <c r="A28" s="14" t="str">
        <f t="shared" si="0"/>
        <v>BAVM 173 </v>
      </c>
      <c r="B28" s="2" t="str">
        <f t="shared" si="1"/>
        <v>II</v>
      </c>
      <c r="C28" s="14">
        <f t="shared" si="2"/>
        <v>53216.4218</v>
      </c>
      <c r="D28" t="str">
        <f t="shared" si="3"/>
        <v>vis</v>
      </c>
      <c r="E28">
        <f>VLOOKUP(C28,Active!C$21:E$970,3,FALSE)</f>
        <v>566.4986123241514</v>
      </c>
      <c r="F28" s="2" t="s">
        <v>58</v>
      </c>
      <c r="G28" t="str">
        <f t="shared" si="4"/>
        <v>53216.4218</v>
      </c>
      <c r="H28" s="14">
        <f t="shared" si="5"/>
        <v>62735.5</v>
      </c>
      <c r="I28" s="37" t="s">
        <v>143</v>
      </c>
      <c r="J28" s="38" t="s">
        <v>144</v>
      </c>
      <c r="K28" s="37" t="s">
        <v>145</v>
      </c>
      <c r="L28" s="37" t="s">
        <v>146</v>
      </c>
      <c r="M28" s="38" t="s">
        <v>69</v>
      </c>
      <c r="N28" s="38" t="s">
        <v>70</v>
      </c>
      <c r="O28" s="39" t="s">
        <v>100</v>
      </c>
      <c r="P28" s="40" t="s">
        <v>142</v>
      </c>
    </row>
    <row r="29" spans="1:16" ht="12.75" customHeight="1">
      <c r="A29" s="14" t="str">
        <f t="shared" si="0"/>
        <v>BAVM 173 </v>
      </c>
      <c r="B29" s="2" t="str">
        <f t="shared" si="1"/>
        <v>II</v>
      </c>
      <c r="C29" s="14">
        <f t="shared" si="2"/>
        <v>53221.4088</v>
      </c>
      <c r="D29" t="str">
        <f t="shared" si="3"/>
        <v>vis</v>
      </c>
      <c r="E29">
        <f>VLOOKUP(C29,Active!C$21:E$970,3,FALSE)</f>
        <v>577.4961660332186</v>
      </c>
      <c r="F29" s="2" t="s">
        <v>58</v>
      </c>
      <c r="G29" t="str">
        <f t="shared" si="4"/>
        <v>53221.4088</v>
      </c>
      <c r="H29" s="14">
        <f t="shared" si="5"/>
        <v>62746.5</v>
      </c>
      <c r="I29" s="37" t="s">
        <v>147</v>
      </c>
      <c r="J29" s="38" t="s">
        <v>148</v>
      </c>
      <c r="K29" s="37" t="s">
        <v>149</v>
      </c>
      <c r="L29" s="37" t="s">
        <v>150</v>
      </c>
      <c r="M29" s="38" t="s">
        <v>69</v>
      </c>
      <c r="N29" s="38" t="s">
        <v>70</v>
      </c>
      <c r="O29" s="39" t="s">
        <v>100</v>
      </c>
      <c r="P29" s="40" t="s">
        <v>142</v>
      </c>
    </row>
    <row r="30" spans="1:16" ht="12.75" customHeight="1">
      <c r="A30" s="14" t="str">
        <f t="shared" si="0"/>
        <v>BAVM 173 </v>
      </c>
      <c r="B30" s="2" t="str">
        <f t="shared" si="1"/>
        <v>I</v>
      </c>
      <c r="C30" s="14">
        <f t="shared" si="2"/>
        <v>53228.443</v>
      </c>
      <c r="D30" t="str">
        <f t="shared" si="3"/>
        <v>vis</v>
      </c>
      <c r="E30">
        <f>VLOOKUP(C30,Active!C$21:E$970,3,FALSE)</f>
        <v>593.0082960312787</v>
      </c>
      <c r="F30" s="2" t="s">
        <v>58</v>
      </c>
      <c r="G30" t="str">
        <f t="shared" si="4"/>
        <v>53228.4430</v>
      </c>
      <c r="H30" s="14">
        <f t="shared" si="5"/>
        <v>62762</v>
      </c>
      <c r="I30" s="37" t="s">
        <v>151</v>
      </c>
      <c r="J30" s="38" t="s">
        <v>152</v>
      </c>
      <c r="K30" s="37" t="s">
        <v>153</v>
      </c>
      <c r="L30" s="37" t="s">
        <v>154</v>
      </c>
      <c r="M30" s="38" t="s">
        <v>69</v>
      </c>
      <c r="N30" s="38" t="s">
        <v>70</v>
      </c>
      <c r="O30" s="39" t="s">
        <v>100</v>
      </c>
      <c r="P30" s="40" t="s">
        <v>142</v>
      </c>
    </row>
    <row r="31" spans="1:16" ht="12.75" customHeight="1">
      <c r="A31" s="14" t="str">
        <f t="shared" si="0"/>
        <v>BAVM 173 </v>
      </c>
      <c r="B31" s="2" t="str">
        <f t="shared" si="1"/>
        <v>I</v>
      </c>
      <c r="C31" s="14">
        <f t="shared" si="2"/>
        <v>53233.4247</v>
      </c>
      <c r="D31" t="str">
        <f t="shared" si="3"/>
        <v>vis</v>
      </c>
      <c r="E31">
        <f>VLOOKUP(C31,Active!C$21:E$970,3,FALSE)</f>
        <v>603.9941619451533</v>
      </c>
      <c r="F31" s="2" t="s">
        <v>58</v>
      </c>
      <c r="G31" t="str">
        <f t="shared" si="4"/>
        <v>53233.4247</v>
      </c>
      <c r="H31" s="14">
        <f t="shared" si="5"/>
        <v>62773</v>
      </c>
      <c r="I31" s="37" t="s">
        <v>155</v>
      </c>
      <c r="J31" s="38" t="s">
        <v>156</v>
      </c>
      <c r="K31" s="37" t="s">
        <v>157</v>
      </c>
      <c r="L31" s="37" t="s">
        <v>158</v>
      </c>
      <c r="M31" s="38" t="s">
        <v>69</v>
      </c>
      <c r="N31" s="38" t="s">
        <v>70</v>
      </c>
      <c r="O31" s="39" t="s">
        <v>100</v>
      </c>
      <c r="P31" s="40" t="s">
        <v>142</v>
      </c>
    </row>
    <row r="32" spans="1:16" ht="12.75" customHeight="1">
      <c r="A32" s="14" t="str">
        <f t="shared" si="0"/>
        <v>BAVM 173 </v>
      </c>
      <c r="B32" s="2" t="str">
        <f t="shared" si="1"/>
        <v>I</v>
      </c>
      <c r="C32" s="14">
        <f t="shared" si="2"/>
        <v>53242.497</v>
      </c>
      <c r="D32" t="str">
        <f t="shared" si="3"/>
        <v>vis</v>
      </c>
      <c r="E32">
        <f>VLOOKUP(C32,Active!C$21:E$970,3,FALSE)</f>
        <v>624.0008005083674</v>
      </c>
      <c r="F32" s="2" t="s">
        <v>58</v>
      </c>
      <c r="G32" t="str">
        <f t="shared" si="4"/>
        <v>53242.4970</v>
      </c>
      <c r="H32" s="14">
        <f t="shared" si="5"/>
        <v>62793</v>
      </c>
      <c r="I32" s="37" t="s">
        <v>159</v>
      </c>
      <c r="J32" s="38" t="s">
        <v>160</v>
      </c>
      <c r="K32" s="37" t="s">
        <v>161</v>
      </c>
      <c r="L32" s="37" t="s">
        <v>162</v>
      </c>
      <c r="M32" s="38" t="s">
        <v>69</v>
      </c>
      <c r="N32" s="38" t="s">
        <v>70</v>
      </c>
      <c r="O32" s="39" t="s">
        <v>100</v>
      </c>
      <c r="P32" s="40" t="s">
        <v>142</v>
      </c>
    </row>
    <row r="33" spans="1:16" ht="12.75" customHeight="1">
      <c r="A33" s="14" t="str">
        <f t="shared" si="0"/>
        <v>BAVM 173 </v>
      </c>
      <c r="B33" s="2" t="str">
        <f t="shared" si="1"/>
        <v>II</v>
      </c>
      <c r="C33" s="14">
        <f t="shared" si="2"/>
        <v>53250.4301</v>
      </c>
      <c r="D33" t="str">
        <f t="shared" si="3"/>
        <v>vis</v>
      </c>
      <c r="E33">
        <f>VLOOKUP(C33,Active!C$21:E$970,3,FALSE)</f>
        <v>641.4952246770713</v>
      </c>
      <c r="F33" s="2" t="s">
        <v>58</v>
      </c>
      <c r="G33" t="str">
        <f t="shared" si="4"/>
        <v>53250.4301</v>
      </c>
      <c r="H33" s="14">
        <f t="shared" si="5"/>
        <v>62810.5</v>
      </c>
      <c r="I33" s="37" t="s">
        <v>163</v>
      </c>
      <c r="J33" s="38" t="s">
        <v>164</v>
      </c>
      <c r="K33" s="37" t="s">
        <v>165</v>
      </c>
      <c r="L33" s="37" t="s">
        <v>166</v>
      </c>
      <c r="M33" s="38" t="s">
        <v>69</v>
      </c>
      <c r="N33" s="38" t="s">
        <v>70</v>
      </c>
      <c r="O33" s="39" t="s">
        <v>100</v>
      </c>
      <c r="P33" s="40" t="s">
        <v>142</v>
      </c>
    </row>
    <row r="34" spans="1:16" ht="12.75" customHeight="1">
      <c r="A34" s="14" t="str">
        <f t="shared" si="0"/>
        <v>BAVM 173 </v>
      </c>
      <c r="B34" s="2" t="str">
        <f t="shared" si="1"/>
        <v>I</v>
      </c>
      <c r="C34" s="14">
        <f t="shared" si="2"/>
        <v>53253.3782</v>
      </c>
      <c r="D34" t="str">
        <f t="shared" si="3"/>
        <v>vis</v>
      </c>
      <c r="E34">
        <f>VLOOKUP(C34,Active!C$21:E$970,3,FALSE)</f>
        <v>647.9965056254792</v>
      </c>
      <c r="F34" s="2" t="s">
        <v>58</v>
      </c>
      <c r="G34" t="str">
        <f t="shared" si="4"/>
        <v>53253.3782</v>
      </c>
      <c r="H34" s="14">
        <f t="shared" si="5"/>
        <v>62817</v>
      </c>
      <c r="I34" s="37" t="s">
        <v>167</v>
      </c>
      <c r="J34" s="38" t="s">
        <v>168</v>
      </c>
      <c r="K34" s="37" t="s">
        <v>169</v>
      </c>
      <c r="L34" s="37" t="s">
        <v>170</v>
      </c>
      <c r="M34" s="38" t="s">
        <v>69</v>
      </c>
      <c r="N34" s="38" t="s">
        <v>70</v>
      </c>
      <c r="O34" s="39" t="s">
        <v>100</v>
      </c>
      <c r="P34" s="40" t="s">
        <v>142</v>
      </c>
    </row>
    <row r="35" spans="1:16" ht="12.75" customHeight="1">
      <c r="A35" s="14" t="str">
        <f t="shared" si="0"/>
        <v>BAVM 173 </v>
      </c>
      <c r="B35" s="2" t="str">
        <f t="shared" si="1"/>
        <v>II</v>
      </c>
      <c r="C35" s="14">
        <f t="shared" si="2"/>
        <v>53254.5135</v>
      </c>
      <c r="D35" t="str">
        <f t="shared" si="3"/>
        <v>vis</v>
      </c>
      <c r="E35">
        <f>VLOOKUP(C35,Active!C$21:E$970,3,FALSE)</f>
        <v>650.5001195669112</v>
      </c>
      <c r="F35" s="2" t="s">
        <v>58</v>
      </c>
      <c r="G35" t="str">
        <f t="shared" si="4"/>
        <v>53254.5135</v>
      </c>
      <c r="H35" s="14">
        <f t="shared" si="5"/>
        <v>62819.5</v>
      </c>
      <c r="I35" s="37" t="s">
        <v>171</v>
      </c>
      <c r="J35" s="38" t="s">
        <v>172</v>
      </c>
      <c r="K35" s="37" t="s">
        <v>173</v>
      </c>
      <c r="L35" s="37" t="s">
        <v>174</v>
      </c>
      <c r="M35" s="38" t="s">
        <v>69</v>
      </c>
      <c r="N35" s="38" t="s">
        <v>70</v>
      </c>
      <c r="O35" s="39" t="s">
        <v>100</v>
      </c>
      <c r="P35" s="40" t="s">
        <v>142</v>
      </c>
    </row>
    <row r="36" spans="1:16" ht="12.75" customHeight="1">
      <c r="A36" s="14" t="str">
        <f t="shared" si="0"/>
        <v>BAVM 173 </v>
      </c>
      <c r="B36" s="2" t="str">
        <f t="shared" si="1"/>
        <v>II</v>
      </c>
      <c r="C36" s="14">
        <f t="shared" si="2"/>
        <v>53255.4191</v>
      </c>
      <c r="D36" t="str">
        <f t="shared" si="3"/>
        <v>vis</v>
      </c>
      <c r="E36">
        <f>VLOOKUP(C36,Active!C$21:E$970,3,FALSE)</f>
        <v>652.4971888748938</v>
      </c>
      <c r="F36" s="2" t="s">
        <v>58</v>
      </c>
      <c r="G36" t="str">
        <f t="shared" si="4"/>
        <v>53255.4191</v>
      </c>
      <c r="H36" s="14">
        <f t="shared" si="5"/>
        <v>62821.5</v>
      </c>
      <c r="I36" s="37" t="s">
        <v>175</v>
      </c>
      <c r="J36" s="38" t="s">
        <v>176</v>
      </c>
      <c r="K36" s="37" t="s">
        <v>177</v>
      </c>
      <c r="L36" s="37" t="s">
        <v>178</v>
      </c>
      <c r="M36" s="38" t="s">
        <v>69</v>
      </c>
      <c r="N36" s="38" t="s">
        <v>70</v>
      </c>
      <c r="O36" s="39" t="s">
        <v>100</v>
      </c>
      <c r="P36" s="40" t="s">
        <v>142</v>
      </c>
    </row>
    <row r="37" spans="1:16" ht="12.75" customHeight="1">
      <c r="A37" s="14" t="str">
        <f t="shared" si="0"/>
        <v>BAVM 173 </v>
      </c>
      <c r="B37" s="2" t="str">
        <f t="shared" si="1"/>
        <v>I</v>
      </c>
      <c r="C37" s="14">
        <f t="shared" si="2"/>
        <v>53256.5519</v>
      </c>
      <c r="D37" t="str">
        <f t="shared" si="3"/>
        <v>vis</v>
      </c>
      <c r="E37">
        <f>VLOOKUP(C37,Active!C$21:E$970,3,FALSE)</f>
        <v>654.9952897053776</v>
      </c>
      <c r="F37" s="2" t="s">
        <v>58</v>
      </c>
      <c r="G37" t="str">
        <f t="shared" si="4"/>
        <v>53256.5519</v>
      </c>
      <c r="H37" s="14">
        <f t="shared" si="5"/>
        <v>62824</v>
      </c>
      <c r="I37" s="37" t="s">
        <v>179</v>
      </c>
      <c r="J37" s="38" t="s">
        <v>180</v>
      </c>
      <c r="K37" s="37" t="s">
        <v>181</v>
      </c>
      <c r="L37" s="37" t="s">
        <v>182</v>
      </c>
      <c r="M37" s="38" t="s">
        <v>69</v>
      </c>
      <c r="N37" s="38" t="s">
        <v>70</v>
      </c>
      <c r="O37" s="39" t="s">
        <v>100</v>
      </c>
      <c r="P37" s="40" t="s">
        <v>142</v>
      </c>
    </row>
    <row r="38" spans="1:16" ht="12.75" customHeight="1">
      <c r="A38" s="14" t="str">
        <f t="shared" si="0"/>
        <v>BAVM 173 </v>
      </c>
      <c r="B38" s="2" t="str">
        <f t="shared" si="1"/>
        <v>I</v>
      </c>
      <c r="C38" s="14">
        <f t="shared" si="2"/>
        <v>53257.4595</v>
      </c>
      <c r="D38" t="str">
        <f t="shared" si="3"/>
        <v>vis</v>
      </c>
      <c r="E38">
        <f>VLOOKUP(C38,Active!C$21:E$970,3,FALSE)</f>
        <v>656.9967695021156</v>
      </c>
      <c r="F38" s="2" t="s">
        <v>58</v>
      </c>
      <c r="G38" t="str">
        <f t="shared" si="4"/>
        <v>53257.4595</v>
      </c>
      <c r="H38" s="14">
        <f t="shared" si="5"/>
        <v>62826</v>
      </c>
      <c r="I38" s="37" t="s">
        <v>183</v>
      </c>
      <c r="J38" s="38" t="s">
        <v>184</v>
      </c>
      <c r="K38" s="37" t="s">
        <v>185</v>
      </c>
      <c r="L38" s="37" t="s">
        <v>186</v>
      </c>
      <c r="M38" s="38" t="s">
        <v>69</v>
      </c>
      <c r="N38" s="38" t="s">
        <v>70</v>
      </c>
      <c r="O38" s="39" t="s">
        <v>100</v>
      </c>
      <c r="P38" s="40" t="s">
        <v>142</v>
      </c>
    </row>
    <row r="39" spans="1:16" ht="12.75" customHeight="1">
      <c r="A39" s="14" t="str">
        <f t="shared" si="0"/>
        <v>BAVM 173 </v>
      </c>
      <c r="B39" s="2" t="str">
        <f t="shared" si="1"/>
        <v>I</v>
      </c>
      <c r="C39" s="14">
        <f t="shared" si="2"/>
        <v>53267.436</v>
      </c>
      <c r="D39" t="str">
        <f t="shared" si="3"/>
        <v>vis</v>
      </c>
      <c r="E39">
        <f>VLOOKUP(C39,Active!C$21:E$970,3,FALSE)</f>
        <v>678.9973900311982</v>
      </c>
      <c r="F39" s="2" t="s">
        <v>58</v>
      </c>
      <c r="G39" t="str">
        <f t="shared" si="4"/>
        <v>53267.4360</v>
      </c>
      <c r="H39" s="14">
        <f t="shared" si="5"/>
        <v>62848</v>
      </c>
      <c r="I39" s="37" t="s">
        <v>187</v>
      </c>
      <c r="J39" s="38" t="s">
        <v>188</v>
      </c>
      <c r="K39" s="37" t="s">
        <v>189</v>
      </c>
      <c r="L39" s="37" t="s">
        <v>150</v>
      </c>
      <c r="M39" s="38" t="s">
        <v>69</v>
      </c>
      <c r="N39" s="38" t="s">
        <v>70</v>
      </c>
      <c r="O39" s="39" t="s">
        <v>100</v>
      </c>
      <c r="P39" s="40" t="s">
        <v>142</v>
      </c>
    </row>
    <row r="40" spans="1:16" ht="12.75" customHeight="1">
      <c r="A40" s="14" t="str">
        <f t="shared" si="0"/>
        <v>BAVM 173 </v>
      </c>
      <c r="B40" s="2" t="str">
        <f t="shared" si="1"/>
        <v>I</v>
      </c>
      <c r="C40" s="14">
        <f t="shared" si="2"/>
        <v>53282.3983</v>
      </c>
      <c r="D40" t="str">
        <f t="shared" si="3"/>
        <v>vis</v>
      </c>
      <c r="E40">
        <f>VLOOKUP(C40,Active!C$21:E$970,3,FALSE)</f>
        <v>711.992917976082</v>
      </c>
      <c r="F40" s="2" t="s">
        <v>58</v>
      </c>
      <c r="G40" t="str">
        <f t="shared" si="4"/>
        <v>53282.3983</v>
      </c>
      <c r="H40" s="14">
        <f t="shared" si="5"/>
        <v>62881</v>
      </c>
      <c r="I40" s="37" t="s">
        <v>190</v>
      </c>
      <c r="J40" s="38" t="s">
        <v>191</v>
      </c>
      <c r="K40" s="37" t="s">
        <v>192</v>
      </c>
      <c r="L40" s="37" t="s">
        <v>193</v>
      </c>
      <c r="M40" s="38" t="s">
        <v>69</v>
      </c>
      <c r="N40" s="38" t="s">
        <v>114</v>
      </c>
      <c r="O40" s="39" t="s">
        <v>100</v>
      </c>
      <c r="P40" s="40" t="s">
        <v>142</v>
      </c>
    </row>
    <row r="41" spans="1:16" ht="12.75" customHeight="1">
      <c r="A41" s="14" t="str">
        <f t="shared" si="0"/>
        <v>BAVM 173 </v>
      </c>
      <c r="B41" s="2" t="str">
        <f t="shared" si="1"/>
        <v>II</v>
      </c>
      <c r="C41" s="14">
        <f t="shared" si="2"/>
        <v>53284.4397</v>
      </c>
      <c r="D41" t="str">
        <f t="shared" si="3"/>
        <v>vis</v>
      </c>
      <c r="E41">
        <f>VLOOKUP(C41,Active!C$21:E$970,3,FALSE)</f>
        <v>716.4947038476895</v>
      </c>
      <c r="F41" s="2" t="s">
        <v>58</v>
      </c>
      <c r="G41" t="str">
        <f t="shared" si="4"/>
        <v>53284.4397</v>
      </c>
      <c r="H41" s="14">
        <f t="shared" si="5"/>
        <v>62885.5</v>
      </c>
      <c r="I41" s="37" t="s">
        <v>194</v>
      </c>
      <c r="J41" s="38" t="s">
        <v>195</v>
      </c>
      <c r="K41" s="37" t="s">
        <v>196</v>
      </c>
      <c r="L41" s="37" t="s">
        <v>197</v>
      </c>
      <c r="M41" s="38" t="s">
        <v>69</v>
      </c>
      <c r="N41" s="38" t="s">
        <v>114</v>
      </c>
      <c r="O41" s="39" t="s">
        <v>100</v>
      </c>
      <c r="P41" s="40" t="s">
        <v>142</v>
      </c>
    </row>
    <row r="42" spans="1:16" ht="12.75" customHeight="1">
      <c r="A42" s="14" t="str">
        <f t="shared" si="0"/>
        <v>BAVM 178 </v>
      </c>
      <c r="B42" s="2" t="str">
        <f t="shared" si="1"/>
        <v>II</v>
      </c>
      <c r="C42" s="14">
        <f t="shared" si="2"/>
        <v>53601.4088</v>
      </c>
      <c r="D42" t="str">
        <f t="shared" si="3"/>
        <v>vis</v>
      </c>
      <c r="E42">
        <f>VLOOKUP(C42,Active!C$21:E$970,3,FALSE)</f>
        <v>1415.4890293668304</v>
      </c>
      <c r="F42" s="2" t="s">
        <v>58</v>
      </c>
      <c r="G42" t="str">
        <f t="shared" si="4"/>
        <v>53601.4088</v>
      </c>
      <c r="H42" s="14">
        <f t="shared" si="5"/>
        <v>63584.5</v>
      </c>
      <c r="I42" s="37" t="s">
        <v>198</v>
      </c>
      <c r="J42" s="38" t="s">
        <v>199</v>
      </c>
      <c r="K42" s="37" t="s">
        <v>200</v>
      </c>
      <c r="L42" s="37" t="s">
        <v>201</v>
      </c>
      <c r="M42" s="38" t="s">
        <v>104</v>
      </c>
      <c r="N42" s="38" t="s">
        <v>114</v>
      </c>
      <c r="O42" s="39" t="s">
        <v>100</v>
      </c>
      <c r="P42" s="40" t="s">
        <v>202</v>
      </c>
    </row>
    <row r="43" spans="1:16" ht="12.75" customHeight="1">
      <c r="A43" s="14" t="str">
        <f aca="true" t="shared" si="6" ref="A43:A59">P43</f>
        <v>BAVM 178 </v>
      </c>
      <c r="B43" s="2" t="str">
        <f aca="true" t="shared" si="7" ref="B43:B59">IF(H43=INT(H43),"I","II")</f>
        <v>I</v>
      </c>
      <c r="C43" s="14">
        <f aca="true" t="shared" si="8" ref="C43:C59">1*G43</f>
        <v>53648.342</v>
      </c>
      <c r="D43" t="str">
        <f aca="true" t="shared" si="9" ref="D43:D59">VLOOKUP(F43,I$1:J$5,2,FALSE)</f>
        <v>vis</v>
      </c>
      <c r="E43">
        <f>VLOOKUP(C43,Active!C$21:E$970,3,FALSE)</f>
        <v>1518.9882047705375</v>
      </c>
      <c r="F43" s="2" t="s">
        <v>58</v>
      </c>
      <c r="G43" t="str">
        <f aca="true" t="shared" si="10" ref="G43:G59">MID(I43,3,LEN(I43)-3)</f>
        <v>53648.3420</v>
      </c>
      <c r="H43" s="14">
        <f aca="true" t="shared" si="11" ref="H43:H59">1*K43</f>
        <v>63688</v>
      </c>
      <c r="I43" s="37" t="s">
        <v>203</v>
      </c>
      <c r="J43" s="38" t="s">
        <v>204</v>
      </c>
      <c r="K43" s="37" t="s">
        <v>205</v>
      </c>
      <c r="L43" s="37" t="s">
        <v>206</v>
      </c>
      <c r="M43" s="38" t="s">
        <v>104</v>
      </c>
      <c r="N43" s="38" t="s">
        <v>114</v>
      </c>
      <c r="O43" s="39" t="s">
        <v>207</v>
      </c>
      <c r="P43" s="40" t="s">
        <v>202</v>
      </c>
    </row>
    <row r="44" spans="1:16" ht="12.75" customHeight="1">
      <c r="A44" s="14" t="str">
        <f t="shared" si="6"/>
        <v>BAVM 186 </v>
      </c>
      <c r="B44" s="2" t="str">
        <f t="shared" si="7"/>
        <v>II</v>
      </c>
      <c r="C44" s="14">
        <f t="shared" si="8"/>
        <v>53927.444</v>
      </c>
      <c r="D44" t="str">
        <f t="shared" si="9"/>
        <v>vis</v>
      </c>
      <c r="E44">
        <f>VLOOKUP(C44,Active!C$21:E$970,3,FALSE)</f>
        <v>2134.4763209340717</v>
      </c>
      <c r="F44" s="2" t="s">
        <v>58</v>
      </c>
      <c r="G44" t="str">
        <f t="shared" si="10"/>
        <v>53927.4440</v>
      </c>
      <c r="H44" s="14">
        <f t="shared" si="11"/>
        <v>64303.5</v>
      </c>
      <c r="I44" s="37" t="s">
        <v>208</v>
      </c>
      <c r="J44" s="38" t="s">
        <v>209</v>
      </c>
      <c r="K44" s="37" t="s">
        <v>210</v>
      </c>
      <c r="L44" s="37" t="s">
        <v>211</v>
      </c>
      <c r="M44" s="38" t="s">
        <v>104</v>
      </c>
      <c r="N44" s="38" t="s">
        <v>114</v>
      </c>
      <c r="O44" s="39" t="s">
        <v>212</v>
      </c>
      <c r="P44" s="40" t="s">
        <v>213</v>
      </c>
    </row>
    <row r="45" spans="1:16" ht="12.75" customHeight="1">
      <c r="A45" s="14" t="str">
        <f t="shared" si="6"/>
        <v>BAVM 183 </v>
      </c>
      <c r="B45" s="2" t="str">
        <f t="shared" si="7"/>
        <v>II</v>
      </c>
      <c r="C45" s="14">
        <f t="shared" si="8"/>
        <v>53966.4427</v>
      </c>
      <c r="D45" t="str">
        <f t="shared" si="9"/>
        <v>vis</v>
      </c>
      <c r="E45">
        <f>VLOOKUP(C45,Active!C$21:E$970,3,FALSE)</f>
        <v>2220.477984826928</v>
      </c>
      <c r="F45" s="2" t="s">
        <v>58</v>
      </c>
      <c r="G45" t="str">
        <f t="shared" si="10"/>
        <v>53966.4427</v>
      </c>
      <c r="H45" s="14">
        <f t="shared" si="11"/>
        <v>64389.5</v>
      </c>
      <c r="I45" s="37" t="s">
        <v>214</v>
      </c>
      <c r="J45" s="38" t="s">
        <v>215</v>
      </c>
      <c r="K45" s="37" t="s">
        <v>216</v>
      </c>
      <c r="L45" s="37" t="s">
        <v>217</v>
      </c>
      <c r="M45" s="38" t="s">
        <v>104</v>
      </c>
      <c r="N45" s="38" t="s">
        <v>114</v>
      </c>
      <c r="O45" s="39" t="s">
        <v>100</v>
      </c>
      <c r="P45" s="40" t="s">
        <v>218</v>
      </c>
    </row>
    <row r="46" spans="1:16" ht="12.75" customHeight="1">
      <c r="A46" s="14" t="str">
        <f t="shared" si="6"/>
        <v>IBVS 5760 </v>
      </c>
      <c r="B46" s="2" t="str">
        <f t="shared" si="7"/>
        <v>II</v>
      </c>
      <c r="C46" s="14">
        <f t="shared" si="8"/>
        <v>54031.7419</v>
      </c>
      <c r="D46" t="str">
        <f t="shared" si="9"/>
        <v>vis</v>
      </c>
      <c r="E46">
        <f>VLOOKUP(C46,Active!C$21:E$970,3,FALSE)</f>
        <v>2364.4786784621792</v>
      </c>
      <c r="F46" s="2" t="s">
        <v>58</v>
      </c>
      <c r="G46" t="str">
        <f t="shared" si="10"/>
        <v>54031.7419</v>
      </c>
      <c r="H46" s="14">
        <f t="shared" si="11"/>
        <v>64533.5</v>
      </c>
      <c r="I46" s="37" t="s">
        <v>219</v>
      </c>
      <c r="J46" s="38" t="s">
        <v>220</v>
      </c>
      <c r="K46" s="37" t="s">
        <v>221</v>
      </c>
      <c r="L46" s="37" t="s">
        <v>222</v>
      </c>
      <c r="M46" s="38" t="s">
        <v>104</v>
      </c>
      <c r="N46" s="38" t="s">
        <v>223</v>
      </c>
      <c r="O46" s="39" t="s">
        <v>224</v>
      </c>
      <c r="P46" s="40" t="s">
        <v>225</v>
      </c>
    </row>
    <row r="47" spans="1:16" ht="12.75" customHeight="1">
      <c r="A47" s="14" t="str">
        <f t="shared" si="6"/>
        <v> JAAVSO 38;120 </v>
      </c>
      <c r="B47" s="2" t="str">
        <f t="shared" si="7"/>
        <v>I</v>
      </c>
      <c r="C47" s="14">
        <f t="shared" si="8"/>
        <v>55120.2701</v>
      </c>
      <c r="D47" t="str">
        <f t="shared" si="9"/>
        <v>vis</v>
      </c>
      <c r="E47">
        <f>VLOOKUP(C47,Active!C$21:E$970,3,FALSE)</f>
        <v>4764.949370928976</v>
      </c>
      <c r="F47" s="2" t="s">
        <v>58</v>
      </c>
      <c r="G47" t="str">
        <f t="shared" si="10"/>
        <v>55120.2701</v>
      </c>
      <c r="H47" s="14">
        <f t="shared" si="11"/>
        <v>66934</v>
      </c>
      <c r="I47" s="37" t="s">
        <v>226</v>
      </c>
      <c r="J47" s="38" t="s">
        <v>227</v>
      </c>
      <c r="K47" s="37" t="s">
        <v>228</v>
      </c>
      <c r="L47" s="37" t="s">
        <v>229</v>
      </c>
      <c r="M47" s="38" t="s">
        <v>104</v>
      </c>
      <c r="N47" s="38" t="s">
        <v>230</v>
      </c>
      <c r="O47" s="39" t="s">
        <v>231</v>
      </c>
      <c r="P47" s="39" t="s">
        <v>232</v>
      </c>
    </row>
    <row r="48" spans="1:16" ht="12.75" customHeight="1">
      <c r="A48" s="14" t="str">
        <f t="shared" si="6"/>
        <v>OEJV 0137 </v>
      </c>
      <c r="B48" s="2" t="str">
        <f t="shared" si="7"/>
        <v>II</v>
      </c>
      <c r="C48" s="14">
        <f t="shared" si="8"/>
        <v>55388.4951</v>
      </c>
      <c r="D48" t="str">
        <f t="shared" si="9"/>
        <v>vis</v>
      </c>
      <c r="E48">
        <f>VLOOKUP(C48,Active!C$21:E$970,3,FALSE)</f>
        <v>5356.4510440017575</v>
      </c>
      <c r="F48" s="2" t="s">
        <v>58</v>
      </c>
      <c r="G48" t="str">
        <f t="shared" si="10"/>
        <v>55388.4951</v>
      </c>
      <c r="H48" s="14">
        <f t="shared" si="11"/>
        <v>67525.5</v>
      </c>
      <c r="I48" s="37" t="s">
        <v>233</v>
      </c>
      <c r="J48" s="38" t="s">
        <v>234</v>
      </c>
      <c r="K48" s="37" t="s">
        <v>235</v>
      </c>
      <c r="L48" s="37" t="s">
        <v>236</v>
      </c>
      <c r="M48" s="38" t="s">
        <v>104</v>
      </c>
      <c r="N48" s="38" t="s">
        <v>50</v>
      </c>
      <c r="O48" s="39" t="s">
        <v>237</v>
      </c>
      <c r="P48" s="40" t="s">
        <v>238</v>
      </c>
    </row>
    <row r="49" spans="1:16" ht="12.75" customHeight="1">
      <c r="A49" s="14" t="str">
        <f t="shared" si="6"/>
        <v>IBVS 5960 </v>
      </c>
      <c r="B49" s="2" t="str">
        <f t="shared" si="7"/>
        <v>II</v>
      </c>
      <c r="C49" s="14">
        <f t="shared" si="8"/>
        <v>55469.6674</v>
      </c>
      <c r="D49" t="str">
        <f t="shared" si="9"/>
        <v>vis</v>
      </c>
      <c r="E49">
        <f>VLOOKUP(C49,Active!C$21:E$970,3,FALSE)</f>
        <v>5535.455802160635</v>
      </c>
      <c r="F49" s="2" t="s">
        <v>58</v>
      </c>
      <c r="G49" t="str">
        <f t="shared" si="10"/>
        <v>55469.6674</v>
      </c>
      <c r="H49" s="14">
        <f t="shared" si="11"/>
        <v>67704.5</v>
      </c>
      <c r="I49" s="37" t="s">
        <v>239</v>
      </c>
      <c r="J49" s="38" t="s">
        <v>240</v>
      </c>
      <c r="K49" s="37" t="s">
        <v>241</v>
      </c>
      <c r="L49" s="37" t="s">
        <v>242</v>
      </c>
      <c r="M49" s="38" t="s">
        <v>104</v>
      </c>
      <c r="N49" s="38" t="s">
        <v>58</v>
      </c>
      <c r="O49" s="39" t="s">
        <v>64</v>
      </c>
      <c r="P49" s="40" t="s">
        <v>243</v>
      </c>
    </row>
    <row r="50" spans="1:16" ht="12.75" customHeight="1">
      <c r="A50" s="14" t="str">
        <f t="shared" si="6"/>
        <v>BAVM 228 </v>
      </c>
      <c r="B50" s="2" t="str">
        <f t="shared" si="7"/>
        <v>II</v>
      </c>
      <c r="C50" s="14">
        <f t="shared" si="8"/>
        <v>55481.4556</v>
      </c>
      <c r="D50" t="str">
        <f t="shared" si="9"/>
        <v>vis</v>
      </c>
      <c r="E50">
        <f>VLOOKUP(C50,Active!C$21:E$970,3,FALSE)</f>
        <v>5561.451663927876</v>
      </c>
      <c r="F50" s="2" t="s">
        <v>58</v>
      </c>
      <c r="G50" t="str">
        <f t="shared" si="10"/>
        <v>55481.4556</v>
      </c>
      <c r="H50" s="14">
        <f t="shared" si="11"/>
        <v>67730.5</v>
      </c>
      <c r="I50" s="37" t="s">
        <v>244</v>
      </c>
      <c r="J50" s="38" t="s">
        <v>245</v>
      </c>
      <c r="K50" s="37" t="s">
        <v>246</v>
      </c>
      <c r="L50" s="37" t="s">
        <v>247</v>
      </c>
      <c r="M50" s="38" t="s">
        <v>104</v>
      </c>
      <c r="N50" s="41" t="s">
        <v>114</v>
      </c>
      <c r="O50" s="39" t="s">
        <v>100</v>
      </c>
      <c r="P50" s="40" t="s">
        <v>248</v>
      </c>
    </row>
    <row r="51" spans="1:16" ht="12.75" customHeight="1">
      <c r="A51" s="14" t="str">
        <f t="shared" si="6"/>
        <v>OEJV 0160 </v>
      </c>
      <c r="B51" s="2" t="str">
        <f t="shared" si="7"/>
        <v>II</v>
      </c>
      <c r="C51" s="14">
        <f t="shared" si="8"/>
        <v>55797.51583</v>
      </c>
      <c r="D51" t="str">
        <f t="shared" si="9"/>
        <v>vis</v>
      </c>
      <c r="E51">
        <f>VLOOKUP(C51,Active!C$21:E$970,3,FALSE)</f>
        <v>6258.441708989919</v>
      </c>
      <c r="F51" s="2" t="s">
        <v>58</v>
      </c>
      <c r="G51" t="str">
        <f t="shared" si="10"/>
        <v>55797.51583</v>
      </c>
      <c r="H51" s="14">
        <f t="shared" si="11"/>
        <v>68427.5</v>
      </c>
      <c r="I51" s="37" t="s">
        <v>249</v>
      </c>
      <c r="J51" s="38" t="s">
        <v>250</v>
      </c>
      <c r="K51" s="37">
        <v>68427.5</v>
      </c>
      <c r="L51" s="37" t="s">
        <v>251</v>
      </c>
      <c r="M51" s="38" t="s">
        <v>104</v>
      </c>
      <c r="N51" s="38" t="s">
        <v>252</v>
      </c>
      <c r="O51" s="39" t="s">
        <v>253</v>
      </c>
      <c r="P51" s="40" t="s">
        <v>254</v>
      </c>
    </row>
    <row r="52" spans="1:16" ht="12.75" customHeight="1">
      <c r="A52" s="14" t="str">
        <f t="shared" si="6"/>
        <v>OEJV 0160 </v>
      </c>
      <c r="B52" s="2" t="str">
        <f t="shared" si="7"/>
        <v>I</v>
      </c>
      <c r="C52" s="14">
        <f t="shared" si="8"/>
        <v>56220.36574</v>
      </c>
      <c r="D52" t="str">
        <f t="shared" si="9"/>
        <v>vis</v>
      </c>
      <c r="E52">
        <f>VLOOKUP(C52,Active!C$21:E$970,3,FALSE)</f>
        <v>7190.929095414298</v>
      </c>
      <c r="F52" s="2" t="s">
        <v>58</v>
      </c>
      <c r="G52" t="str">
        <f t="shared" si="10"/>
        <v>56220.36574</v>
      </c>
      <c r="H52" s="14">
        <f t="shared" si="11"/>
        <v>69360</v>
      </c>
      <c r="I52" s="37" t="s">
        <v>255</v>
      </c>
      <c r="J52" s="38" t="s">
        <v>256</v>
      </c>
      <c r="K52" s="37">
        <v>69360</v>
      </c>
      <c r="L52" s="37" t="s">
        <v>257</v>
      </c>
      <c r="M52" s="38" t="s">
        <v>104</v>
      </c>
      <c r="N52" s="38" t="s">
        <v>50</v>
      </c>
      <c r="O52" s="39" t="s">
        <v>253</v>
      </c>
      <c r="P52" s="40" t="s">
        <v>254</v>
      </c>
    </row>
    <row r="53" spans="1:16" ht="12.75" customHeight="1">
      <c r="A53" s="14" t="str">
        <f t="shared" si="6"/>
        <v>OEJV 0160 </v>
      </c>
      <c r="B53" s="2" t="str">
        <f t="shared" si="7"/>
        <v>I</v>
      </c>
      <c r="C53" s="14">
        <f t="shared" si="8"/>
        <v>56542.32195</v>
      </c>
      <c r="D53" t="str">
        <f t="shared" si="9"/>
        <v>vis</v>
      </c>
      <c r="E53">
        <f>VLOOKUP(C53,Active!C$21:E$970,3,FALSE)</f>
        <v>7900.921217219389</v>
      </c>
      <c r="F53" s="2" t="s">
        <v>58</v>
      </c>
      <c r="G53" t="str">
        <f t="shared" si="10"/>
        <v>56542.32195</v>
      </c>
      <c r="H53" s="14">
        <f t="shared" si="11"/>
        <v>70070</v>
      </c>
      <c r="I53" s="37" t="s">
        <v>258</v>
      </c>
      <c r="J53" s="38" t="s">
        <v>259</v>
      </c>
      <c r="K53" s="37">
        <v>70070</v>
      </c>
      <c r="L53" s="37" t="s">
        <v>260</v>
      </c>
      <c r="M53" s="38" t="s">
        <v>104</v>
      </c>
      <c r="N53" s="38" t="s">
        <v>223</v>
      </c>
      <c r="O53" s="39" t="s">
        <v>253</v>
      </c>
      <c r="P53" s="40" t="s">
        <v>254</v>
      </c>
    </row>
    <row r="54" spans="1:16" ht="12.75" customHeight="1">
      <c r="A54" s="14" t="str">
        <f t="shared" si="6"/>
        <v>OEJV 0160 </v>
      </c>
      <c r="B54" s="2" t="str">
        <f t="shared" si="7"/>
        <v>I</v>
      </c>
      <c r="C54" s="14">
        <f t="shared" si="8"/>
        <v>56542.32284</v>
      </c>
      <c r="D54" t="str">
        <f t="shared" si="9"/>
        <v>vis</v>
      </c>
      <c r="E54">
        <f>VLOOKUP(C54,Active!C$21:E$970,3,FALSE)</f>
        <v>7900.923179886891</v>
      </c>
      <c r="F54" s="2" t="s">
        <v>58</v>
      </c>
      <c r="G54" t="str">
        <f t="shared" si="10"/>
        <v>56542.32284</v>
      </c>
      <c r="H54" s="14">
        <f t="shared" si="11"/>
        <v>70070</v>
      </c>
      <c r="I54" s="37" t="s">
        <v>261</v>
      </c>
      <c r="J54" s="38" t="s">
        <v>262</v>
      </c>
      <c r="K54" s="37">
        <v>70070</v>
      </c>
      <c r="L54" s="37" t="s">
        <v>263</v>
      </c>
      <c r="M54" s="38" t="s">
        <v>104</v>
      </c>
      <c r="N54" s="38" t="s">
        <v>58</v>
      </c>
      <c r="O54" s="39" t="s">
        <v>253</v>
      </c>
      <c r="P54" s="40" t="s">
        <v>254</v>
      </c>
    </row>
    <row r="55" spans="1:16" ht="12.75" customHeight="1">
      <c r="A55" s="14" t="str">
        <f t="shared" si="6"/>
        <v> BBS 127 </v>
      </c>
      <c r="B55" s="2" t="str">
        <f t="shared" si="7"/>
        <v>II</v>
      </c>
      <c r="C55" s="14">
        <f t="shared" si="8"/>
        <v>52209.2883</v>
      </c>
      <c r="D55" t="str">
        <f t="shared" si="9"/>
        <v>vis</v>
      </c>
      <c r="E55">
        <f>VLOOKUP(C55,Active!C$21:E$970,3,FALSE)</f>
        <v>-1654.4768756342673</v>
      </c>
      <c r="F55" s="2" t="s">
        <v>58</v>
      </c>
      <c r="G55" t="str">
        <f t="shared" si="10"/>
        <v>52209.2883</v>
      </c>
      <c r="H55" s="14">
        <f t="shared" si="11"/>
        <v>60514.5</v>
      </c>
      <c r="I55" s="37" t="s">
        <v>264</v>
      </c>
      <c r="J55" s="38" t="s">
        <v>265</v>
      </c>
      <c r="K55" s="37">
        <v>60514.5</v>
      </c>
      <c r="L55" s="37" t="s">
        <v>266</v>
      </c>
      <c r="M55" s="38" t="s">
        <v>69</v>
      </c>
      <c r="N55" s="38" t="s">
        <v>86</v>
      </c>
      <c r="O55" s="39" t="s">
        <v>87</v>
      </c>
      <c r="P55" s="39" t="s">
        <v>267</v>
      </c>
    </row>
    <row r="56" spans="1:16" ht="12.75" customHeight="1">
      <c r="A56" s="14" t="str">
        <f t="shared" si="6"/>
        <v>OEJV 0137 </v>
      </c>
      <c r="B56" s="2" t="str">
        <f t="shared" si="7"/>
        <v>II</v>
      </c>
      <c r="C56" s="14">
        <f t="shared" si="8"/>
        <v>55083.3166</v>
      </c>
      <c r="D56" t="str">
        <f t="shared" si="9"/>
        <v>vis</v>
      </c>
      <c r="E56" t="e">
        <f>VLOOKUP(C56,Active!C$21:E$970,3,FALSE)</f>
        <v>#N/A</v>
      </c>
      <c r="F56" s="2" t="s">
        <v>58</v>
      </c>
      <c r="G56" t="str">
        <f t="shared" si="10"/>
        <v>55083.3166</v>
      </c>
      <c r="H56" s="14">
        <f t="shared" si="11"/>
        <v>66852.5</v>
      </c>
      <c r="I56" s="37" t="s">
        <v>268</v>
      </c>
      <c r="J56" s="38" t="s">
        <v>269</v>
      </c>
      <c r="K56" s="37" t="s">
        <v>270</v>
      </c>
      <c r="L56" s="37" t="s">
        <v>271</v>
      </c>
      <c r="M56" s="38" t="s">
        <v>104</v>
      </c>
      <c r="N56" s="38" t="s">
        <v>41</v>
      </c>
      <c r="O56" s="39" t="s">
        <v>253</v>
      </c>
      <c r="P56" s="40" t="s">
        <v>238</v>
      </c>
    </row>
    <row r="57" spans="1:16" ht="12.75" customHeight="1">
      <c r="A57" s="14" t="str">
        <f t="shared" si="6"/>
        <v>OEJV 0137 </v>
      </c>
      <c r="B57" s="2" t="str">
        <f t="shared" si="7"/>
        <v>I</v>
      </c>
      <c r="C57" s="14">
        <f t="shared" si="8"/>
        <v>55431.3458</v>
      </c>
      <c r="D57" t="str">
        <f t="shared" si="9"/>
        <v>vis</v>
      </c>
      <c r="E57" t="e">
        <f>VLOOKUP(C57,Active!C$21:E$970,3,FALSE)</f>
        <v>#N/A</v>
      </c>
      <c r="F57" s="2" t="s">
        <v>58</v>
      </c>
      <c r="G57" t="str">
        <f t="shared" si="10"/>
        <v>55431.3458</v>
      </c>
      <c r="H57" s="14">
        <f t="shared" si="11"/>
        <v>67620</v>
      </c>
      <c r="I57" s="37" t="s">
        <v>272</v>
      </c>
      <c r="J57" s="38" t="s">
        <v>273</v>
      </c>
      <c r="K57" s="37" t="s">
        <v>274</v>
      </c>
      <c r="L57" s="37" t="s">
        <v>275</v>
      </c>
      <c r="M57" s="38" t="s">
        <v>104</v>
      </c>
      <c r="N57" s="38" t="s">
        <v>41</v>
      </c>
      <c r="O57" s="39" t="s">
        <v>253</v>
      </c>
      <c r="P57" s="40" t="s">
        <v>238</v>
      </c>
    </row>
    <row r="58" spans="1:16" ht="12.75" customHeight="1">
      <c r="A58" s="14" t="str">
        <f t="shared" si="6"/>
        <v>OEJV 0137 </v>
      </c>
      <c r="B58" s="2" t="str">
        <f t="shared" si="7"/>
        <v>I</v>
      </c>
      <c r="C58" s="14">
        <f t="shared" si="8"/>
        <v>55431.346</v>
      </c>
      <c r="D58" t="str">
        <f t="shared" si="9"/>
        <v>vis</v>
      </c>
      <c r="E58" t="e">
        <f>VLOOKUP(C58,Active!C$21:E$970,3,FALSE)</f>
        <v>#N/A</v>
      </c>
      <c r="F58" s="2" t="s">
        <v>58</v>
      </c>
      <c r="G58" t="str">
        <f t="shared" si="10"/>
        <v>55431.3460</v>
      </c>
      <c r="H58" s="14">
        <f t="shared" si="11"/>
        <v>67620</v>
      </c>
      <c r="I58" s="37" t="s">
        <v>276</v>
      </c>
      <c r="J58" s="38" t="s">
        <v>277</v>
      </c>
      <c r="K58" s="37" t="s">
        <v>274</v>
      </c>
      <c r="L58" s="37" t="s">
        <v>278</v>
      </c>
      <c r="M58" s="38" t="s">
        <v>104</v>
      </c>
      <c r="N58" s="38" t="s">
        <v>223</v>
      </c>
      <c r="O58" s="39" t="s">
        <v>253</v>
      </c>
      <c r="P58" s="40" t="s">
        <v>238</v>
      </c>
    </row>
    <row r="59" spans="1:16" ht="12.75" customHeight="1">
      <c r="A59" s="14" t="str">
        <f t="shared" si="6"/>
        <v>BAVM 225 </v>
      </c>
      <c r="B59" s="2" t="str">
        <f t="shared" si="7"/>
        <v>II</v>
      </c>
      <c r="C59" s="14">
        <f t="shared" si="8"/>
        <v>55807.4919</v>
      </c>
      <c r="D59" t="str">
        <f t="shared" si="9"/>
        <v>vis</v>
      </c>
      <c r="E59">
        <f>VLOOKUP(C59,Active!C$21:E$970,3,FALSE)</f>
        <v>6280.4413812639195</v>
      </c>
      <c r="F59" s="2" t="s">
        <v>58</v>
      </c>
      <c r="G59" t="str">
        <f t="shared" si="10"/>
        <v>55807.4919</v>
      </c>
      <c r="H59" s="14">
        <f t="shared" si="11"/>
        <v>68449.5</v>
      </c>
      <c r="I59" s="37" t="s">
        <v>279</v>
      </c>
      <c r="J59" s="38" t="s">
        <v>280</v>
      </c>
      <c r="K59" s="37">
        <v>68449.5</v>
      </c>
      <c r="L59" s="37" t="s">
        <v>281</v>
      </c>
      <c r="M59" s="38" t="s">
        <v>104</v>
      </c>
      <c r="N59" s="41" t="s">
        <v>114</v>
      </c>
      <c r="O59" s="39" t="s">
        <v>100</v>
      </c>
      <c r="P59" s="40" t="s">
        <v>282</v>
      </c>
    </row>
  </sheetData>
  <sheetProtection selectLockedCells="1" selectUnlockedCells="1"/>
  <hyperlinks>
    <hyperlink ref="P12" r:id="rId1" display="BAVM 158 "/>
    <hyperlink ref="P13" r:id="rId2" display="BAVM 158 "/>
    <hyperlink ref="P14" r:id="rId3" display="BAVM 158 "/>
    <hyperlink ref="P15" r:id="rId4" display="BAVM 91 "/>
    <hyperlink ref="P17" r:id="rId5" display="BAVM 158 "/>
    <hyperlink ref="P18" r:id="rId6" display="IBVS 5263 "/>
    <hyperlink ref="P19" r:id="rId7" display="BAVM 158 "/>
    <hyperlink ref="P20" r:id="rId8" display="OEJV 0074 "/>
    <hyperlink ref="P21" r:id="rId9" display="BAVM 152 "/>
    <hyperlink ref="P22" r:id="rId10" display="BAVM 158 "/>
    <hyperlink ref="P23" r:id="rId11" display="BAVM 172 "/>
    <hyperlink ref="P24" r:id="rId12" display="BAVM 172 "/>
    <hyperlink ref="P25" r:id="rId13" display="OEJV 0074 "/>
    <hyperlink ref="P26" r:id="rId14" display="IBVS 5502 "/>
    <hyperlink ref="P27" r:id="rId15" display="BAVM 173 "/>
    <hyperlink ref="P28" r:id="rId16" display="BAVM 173 "/>
    <hyperlink ref="P29" r:id="rId17" display="BAVM 173 "/>
    <hyperlink ref="P30" r:id="rId18" display="BAVM 173 "/>
    <hyperlink ref="P31" r:id="rId19" display="BAVM 173 "/>
    <hyperlink ref="P32" r:id="rId20" display="BAVM 173 "/>
    <hyperlink ref="P33" r:id="rId21" display="BAVM 173 "/>
    <hyperlink ref="P34" r:id="rId22" display="BAVM 173 "/>
    <hyperlink ref="P35" r:id="rId23" display="BAVM 173 "/>
    <hyperlink ref="P36" r:id="rId24" display="BAVM 173 "/>
    <hyperlink ref="P37" r:id="rId25" display="BAVM 173 "/>
    <hyperlink ref="P38" r:id="rId26" display="BAVM 173 "/>
    <hyperlink ref="P39" r:id="rId27" display="BAVM 173 "/>
    <hyperlink ref="P40" r:id="rId28" display="BAVM 173 "/>
    <hyperlink ref="P41" r:id="rId29" display="BAVM 173 "/>
    <hyperlink ref="P42" r:id="rId30" display="BAVM 178 "/>
    <hyperlink ref="P43" r:id="rId31" display="BAVM 178 "/>
    <hyperlink ref="P44" r:id="rId32" display="BAVM 186 "/>
    <hyperlink ref="P45" r:id="rId33" display="BAVM 183 "/>
    <hyperlink ref="P46" r:id="rId34" display="IBVS 5760 "/>
    <hyperlink ref="P48" r:id="rId35" display="OEJV 0137 "/>
    <hyperlink ref="P49" r:id="rId36" display="IBVS 5960 "/>
    <hyperlink ref="P50" r:id="rId37" display="BAVM 228 "/>
    <hyperlink ref="P51" r:id="rId38" display="OEJV 0160 "/>
    <hyperlink ref="P52" r:id="rId39" display="OEJV 0160 "/>
    <hyperlink ref="P53" r:id="rId40" display="OEJV 0160 "/>
    <hyperlink ref="P54" r:id="rId41" display="OEJV 0160 "/>
    <hyperlink ref="P56" r:id="rId42" display="OEJV 0137 "/>
    <hyperlink ref="P57" r:id="rId43" display="OEJV 0137 "/>
    <hyperlink ref="P58" r:id="rId44" display="OEJV 0137 "/>
    <hyperlink ref="P59" r:id="rId45" display="BAVM 225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2022-11-24T07:12:16Z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