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<sst xmlns="http://schemas.openxmlformats.org/spreadsheetml/2006/main" count="296" uniqueCount="152">
  <si>
    <t>EY Vul / GSC 02154-01256</t>
  </si>
  <si>
    <t>System Type:</t>
  </si>
  <si>
    <t>EA/SD</t>
  </si>
  <si>
    <t>GCVS 4 Eph.</t>
  </si>
  <si>
    <t>--- Working ----</t>
  </si>
  <si>
    <t>Epoch =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</si>
  <si>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</si>
  <si>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</si>
  <si>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</si>
  <si>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</si>
  <si>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</si>
  <si>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</si>
  <si>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</si>
  <si>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</si>
  <si>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</si>
  <si>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</si>
  <si>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JD today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</si>
  <si>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</si>
  <si>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</si>
  <si>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</si>
  <si>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</si>
  <si>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</si>
  <si>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</si>
  <si>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</si>
  <si>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</si>
  <si>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</si>
  <si>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</si>
  <si>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</si>
  <si>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</si>
  <si>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</si>
  <si>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</si>
  <si>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GCVS 4</t>
  </si>
  <si>
    <t>BBSAG</t>
  </si>
  <si>
    <t>IBVS</t>
  </si>
  <si>
    <t>S3</t>
  </si>
  <si>
    <t>S4</t>
  </si>
  <si>
    <t>S5</t>
  </si>
  <si>
    <t>Misc</t>
  </si>
  <si>
    <t>Lin Fit</t>
  </si>
  <si>
    <t>Q. Fit</t>
  </si>
  <si>
    <t>Date</t>
  </si>
  <si>
    <t> MHAR 6.4 </t>
  </si>
  <si>
    <t>I</t>
  </si>
  <si>
    <t>BBSAG Bull.99</t>
  </si>
  <si>
    <t>Vandenbroere J</t>
  </si>
  <si>
    <t>B</t>
  </si>
  <si>
    <t>IBVS 5731</t>
  </si>
  <si>
    <t>BAVM 225 </t>
  </si>
  <si>
    <t>IBVS 6033 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</si>
  <si>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</si>
  <si>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</si>
  <si>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</si>
  <si>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</si>
  <si>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</si>
  <si>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</si>
  <si>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</si>
  <si>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</si>
  <si>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</si>
  <si>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</si>
  <si>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</si>
  <si>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2448482.511 </t>
  </si>
  <si>
    <t> 14.08.1991 00:15 </t>
  </si>
  <si>
    <t> 0.018 </t>
  </si>
  <si>
    <t>V </t>
  </si>
  <si>
    <t> J.Vandenbroere </t>
  </si>
  <si>
    <t> BBS 99 </t>
  </si>
  <si>
    <t>2453619.5669 </t>
  </si>
  <si>
    <t> 06.09.2005 01:36 </t>
  </si>
  <si>
    <t> 0.0527 </t>
  </si>
  <si>
    <t>C </t>
  </si>
  <si>
    <t>-I</t>
  </si>
  <si>
    <t> F.Agerer </t>
  </si>
  <si>
    <t>BAVM 178 </t>
  </si>
  <si>
    <t>2435771.23 </t>
  </si>
  <si>
    <t> 24.10.1956 17:31 </t>
  </si>
  <si>
    <t> -0.01 </t>
  </si>
  <si>
    <t>F </t>
  </si>
  <si>
    <t> G.Romano </t>
  </si>
  <si>
    <t>2436378.517 </t>
  </si>
  <si>
    <t> 24.06.1958 00:24 </t>
  </si>
  <si>
    <t> 0.027 </t>
  </si>
  <si>
    <t>P </t>
  </si>
  <si>
    <t> H.Busch </t>
  </si>
  <si>
    <t>2436452.393 </t>
  </si>
  <si>
    <t> 05.09.1958 21:25 </t>
  </si>
  <si>
    <t> 0.048 </t>
  </si>
  <si>
    <t>2436456.405 </t>
  </si>
  <si>
    <t> 09.09.1958 21:43 </t>
  </si>
  <si>
    <t> -0.043 </t>
  </si>
  <si>
    <t>2436813.437 </t>
  </si>
  <si>
    <t> 01.09.1959 22:29 </t>
  </si>
  <si>
    <t> 0.024 </t>
  </si>
  <si>
    <t>2436817.547 </t>
  </si>
  <si>
    <t> 06.09.1959 01:07 </t>
  </si>
  <si>
    <t> 0.031 </t>
  </si>
  <si>
    <t>2437174.459 </t>
  </si>
  <si>
    <t> 27.08.1960 23:00 </t>
  </si>
  <si>
    <t> -0.023 </t>
  </si>
  <si>
    <t>2437642.257 </t>
  </si>
  <si>
    <t> 08.12.1961 18:10 </t>
  </si>
  <si>
    <t>2438282.361 </t>
  </si>
  <si>
    <t> 09.09.1963 20:39 </t>
  </si>
  <si>
    <t> 0.055 </t>
  </si>
  <si>
    <t>2438286.376 </t>
  </si>
  <si>
    <t> 13.09.1963 21:01 </t>
  </si>
  <si>
    <t> -0.033 </t>
  </si>
  <si>
    <t>2438323.333 </t>
  </si>
  <si>
    <t> 20.10.1963 19:59 </t>
  </si>
  <si>
    <t> -0.003 </t>
  </si>
  <si>
    <t>2438495.596 </t>
  </si>
  <si>
    <t> 10.04.1964 02:18 </t>
  </si>
  <si>
    <t> -0.069 </t>
  </si>
  <si>
    <t>2438528.536 </t>
  </si>
  <si>
    <t> 13.05.1964 00:51 </t>
  </si>
  <si>
    <t> 0.047 </t>
  </si>
  <si>
    <t>2438852.602 </t>
  </si>
  <si>
    <t> 02.04.1965 02:26 </t>
  </si>
  <si>
    <t> -0.028 </t>
  </si>
  <si>
    <t>2439287.482 </t>
  </si>
  <si>
    <t> 10.06.1966 23:34 </t>
  </si>
  <si>
    <t> -0.072 </t>
  </si>
  <si>
    <t>2439681.469 </t>
  </si>
  <si>
    <t> 09.07.1967 23:15 </t>
  </si>
  <si>
    <t> 0.022 </t>
  </si>
  <si>
    <t>2439964.538 </t>
  </si>
  <si>
    <t> 18.04.1968 00:54 </t>
  </si>
  <si>
    <t> -0.019 </t>
  </si>
  <si>
    <t>2440116.390 </t>
  </si>
  <si>
    <t> 16.09.1968 21:21 </t>
  </si>
  <si>
    <t> 0.020 </t>
  </si>
  <si>
    <t>2440153.340 </t>
  </si>
  <si>
    <t> 23.10.1968 20:09 </t>
  </si>
  <si>
    <t> 0.042 </t>
  </si>
  <si>
    <t>2440473.389 </t>
  </si>
  <si>
    <t> 08.09.1969 21:20 </t>
  </si>
  <si>
    <t> 0.053 </t>
  </si>
  <si>
    <t>2441548.423 </t>
  </si>
  <si>
    <t> 18.08.1972 22:09 </t>
  </si>
  <si>
    <t> 0.088 </t>
  </si>
  <si>
    <t>2455802.3963 </t>
  </si>
  <si>
    <t> 28.08.2011 21:30 </t>
  </si>
  <si>
    <t>4882</t>
  </si>
  <si>
    <t> 0.0584 </t>
  </si>
  <si>
    <t>2455802.3972 </t>
  </si>
  <si>
    <t> 28.08.2011 21:31 </t>
  </si>
  <si>
    <t> 0.0593 </t>
  </si>
  <si>
    <t> F.Walter </t>
  </si>
  <si>
    <t>2455839.3213 </t>
  </si>
  <si>
    <t> 04.10.2011 19:42 </t>
  </si>
  <si>
    <t>4891</t>
  </si>
  <si>
    <t> 0.0560 </t>
  </si>
  <si>
    <t> M.Banfi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</si>
</sst>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[$-C09]dddd\,\ d\ mmmm\ yyyy"/>
    <numFmt numFmtId="168" formatCode="d/mm/yyyy;@"/>
  </numFmts>
  <fonts count="42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8"/>
      <color indexed="63"/>
      <name val="Calibri Light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3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4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Protection="0">
      <alignment vertical="top"/>
    </xf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8" xfId="0" applyFont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12" fillId="0" borderId="0" xfId="56" applyNumberFormat="1" applyFont="1" applyFill="1" applyBorder="1" applyAlignment="1" applyProtection="1">
      <alignment horizontal="lef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4" fillId="33" borderId="18" xfId="0" applyFont="1" applyFill="1" applyBorder="1" applyAlignment="1">
      <alignment horizontal="left" vertical="top" wrapText="1" inden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right" vertical="top" wrapText="1"/>
    </xf>
    <xf numFmtId="0" fontId="12" fillId="33" borderId="18" xfId="56" applyNumberFormat="1" applyFont="1" applyFill="1" applyBorder="1" applyAlignment="1" applyProtection="1">
      <alignment horizontal="right" vertical="top" wrapText="1"/>
      <protection/>
    </xf>
    <xf numFmtId="168" fontId="0" fillId="0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EY Vul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226"/>
          <c:w val="0.883"/>
          <c:h val="0.6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A!$F$21:$F$47</c:f>
              <c:numCache/>
            </c:numRef>
          </c:xVal>
          <c:yVal>
            <c:numRef>
              <c:f>A!$H$21:$H$47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A!$F$21:$F$47</c:f>
              <c:numCache/>
            </c:numRef>
          </c:xVal>
          <c:yVal>
            <c:numRef>
              <c:f>A!$I$21:$I$47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A!$F$21:$F$47</c:f>
              <c:numCache/>
            </c:numRef>
          </c:xVal>
          <c:yVal>
            <c:numRef>
              <c:f>A!$J$21:$J$47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A!$F$21:$F$47</c:f>
              <c:numCache/>
            </c:numRef>
          </c:xVal>
          <c:yVal>
            <c:numRef>
              <c:f>A!$K$21:$K$47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A!$F$21:$F$47</c:f>
              <c:numCache/>
            </c:numRef>
          </c:xVal>
          <c:yVal>
            <c:numRef>
              <c:f>A!$L$21:$L$47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A!$F$21:$F$47</c:f>
              <c:numCache/>
            </c:numRef>
          </c:xVal>
          <c:yVal>
            <c:numRef>
              <c:f>A!$M$21:$M$47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A!$F$21:$F$47</c:f>
              <c:numCache/>
            </c:numRef>
          </c:xVal>
          <c:yVal>
            <c:numRef>
              <c:f>A!$N$21:$N$47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A!$F$21:$F$47</c:f>
              <c:numCache/>
            </c:numRef>
          </c:xVal>
          <c:yVal>
            <c:numRef>
              <c:f>A!$O$21:$O$47</c:f>
              <c:numCache/>
            </c:numRef>
          </c:yVal>
          <c:smooth val="0"/>
        </c:ser>
        <c:axId val="24776983"/>
        <c:axId val="21666256"/>
      </c:scatterChart>
      <c:valAx>
        <c:axId val="24776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66256"/>
        <c:crossesAt val="0"/>
        <c:crossBetween val="midCat"/>
        <c:dispUnits/>
      </c:valAx>
      <c:valAx>
        <c:axId val="21666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7698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075"/>
          <c:y val="0.8705"/>
          <c:w val="0.619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0</xdr:rowOff>
    </xdr:from>
    <xdr:to>
      <xdr:col>15</xdr:col>
      <xdr:colOff>85725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895850" y="0"/>
        <a:ext cx="45910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bav-astro.de/sfs/BAVM_link.php?BAVMnr=225" TargetMode="External" /><Relationship Id="rId3" Type="http://schemas.openxmlformats.org/officeDocument/2006/relationships/hyperlink" Target="http://www.bav-astro.de/sfs/BAVM_link.php?BAVMnr=225" TargetMode="External" /><Relationship Id="rId4" Type="http://schemas.openxmlformats.org/officeDocument/2006/relationships/hyperlink" Target="http://www.konkoly.hu/cgi-bin/IBVS?603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zoomScalePageLayoutView="0" workbookViewId="0" topLeftCell="A1">
      <selection activeCell="F15" sqref="F15"/>
    </sheetView>
  </sheetViews>
  <sheetFormatPr defaultColWidth="10.28125" defaultRowHeight="12.75"/>
  <cols>
    <col min="1" max="1" width="14.421875" style="1" customWidth="1"/>
    <col min="2" max="2" width="5.140625" style="1" customWidth="1"/>
    <col min="3" max="3" width="11.8515625" style="1" customWidth="1"/>
    <col min="4" max="4" width="9.421875" style="1" customWidth="1"/>
    <col min="5" max="5" width="15.00390625" style="0" customWidth="1"/>
    <col min="6" max="6" width="9.00390625" style="0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4" spans="1:4" ht="12.75">
      <c r="A4" s="4" t="s">
        <v>3</v>
      </c>
      <c r="C4" s="5">
        <v>35771.238</v>
      </c>
      <c r="D4" s="6">
        <v>4.103052</v>
      </c>
    </row>
    <row r="5" ht="12.75">
      <c r="E5" s="1"/>
    </row>
    <row r="6" ht="12.75">
      <c r="A6" s="4" t="s">
        <v>4</v>
      </c>
    </row>
    <row r="7" spans="1:3" ht="12.75">
      <c r="A7" s="1" t="s">
        <v>5</v>
      </c>
      <c r="C7" s="1">
        <f>+C4</f>
        <v>35771.238</v>
      </c>
    </row>
    <row r="8" spans="1:3" ht="12.75">
      <c r="A8" s="1" t="s">
        <v>6</v>
      </c>
      <c r="C8" s="1">
        <f>+D4</f>
        <v>4.103052</v>
      </c>
    </row>
    <row r="9" spans="1:4" ht="12.75">
      <c r="A9" s="7" t="s">
        <v>7</v>
      </c>
      <c r="B9"/>
      <c r="C9" s="8">
        <v>-9.5</v>
      </c>
      <c r="D9" t="s">
        <v>8</v>
      </c>
    </row>
    <row r="10" spans="1:4" ht="12.75">
      <c r="A10"/>
      <c r="B10"/>
      <c r="C10" s="9" t="s">
        <v>9</v>
      </c>
      <c r="D10" s="9" t="s">
        <v>10</v>
      </c>
    </row>
    <row r="11" spans="1:7" ht="12.75">
      <c r="A11" t="s">
        <v>11</v>
      </c>
      <c r="B11"/>
      <c r="C11" s="10">
        <f ca="1">INTERCEPT(INDIRECT($G$11):G992,INDIRECT($F$11):F992)</f>
        <v>0.0008253930959023874</v>
      </c>
      <c r="D11" s="11"/>
      <c r="F11" s="12" t="str">
        <f>"F"&amp;E19</f>
        <v>F21</v>
      </c>
      <c r="G11" s="13" t="str">
        <f>"G"&amp;E19</f>
        <v>G21</v>
      </c>
    </row>
    <row r="12" spans="1:4" ht="12.75">
      <c r="A12" t="s">
        <v>12</v>
      </c>
      <c r="B12"/>
      <c r="C12" s="10">
        <f ca="1">SLOPE(INDIRECT($G$11):G992,INDIRECT($F$11):F992)</f>
        <v>1.1625965998561157E-05</v>
      </c>
      <c r="D12" s="11"/>
    </row>
    <row r="13" spans="1:4" ht="12.75">
      <c r="A13" t="s">
        <v>13</v>
      </c>
      <c r="B13"/>
      <c r="C13" s="11" t="s">
        <v>14</v>
      </c>
      <c r="D13" s="11"/>
    </row>
    <row r="14" spans="1:4" ht="12.75">
      <c r="A14"/>
      <c r="B14"/>
      <c r="C14"/>
      <c r="D14"/>
    </row>
    <row r="15" spans="1:5" ht="12.75">
      <c r="A15" s="14" t="s">
        <v>15</v>
      </c>
      <c r="B15"/>
      <c r="C15" s="15">
        <f>(C7+C11)+(C8+C12)*INT(MAX(F21:F3533))</f>
        <v>55839.32301999279</v>
      </c>
      <c r="D15" s="16" t="s">
        <v>16</v>
      </c>
      <c r="E15" s="10">
        <f ca="1">TODAY()+15018.5-B9/24</f>
        <v>59907.5</v>
      </c>
    </row>
    <row r="16" spans="1:5" ht="12.75">
      <c r="A16" s="14" t="s">
        <v>17</v>
      </c>
      <c r="B16"/>
      <c r="C16" s="15">
        <f>+C8+C12</f>
        <v>4.103063625965999</v>
      </c>
      <c r="D16" s="16" t="s">
        <v>18</v>
      </c>
      <c r="E16" s="10">
        <f>ROUND(2*(E15-C15)/C16,0)/2+1</f>
        <v>992.5</v>
      </c>
    </row>
    <row r="17" spans="1:5" ht="12.75">
      <c r="A17" s="16" t="s">
        <v>19</v>
      </c>
      <c r="B17"/>
      <c r="C17">
        <f>COUNT(C21:C2191)</f>
        <v>27</v>
      </c>
      <c r="D17" s="16" t="s">
        <v>20</v>
      </c>
      <c r="E17" s="17">
        <f>+C15+C16*E16-15018.5-C9/24</f>
        <v>44893.50950209738</v>
      </c>
    </row>
    <row r="18" spans="1:5" ht="12.75">
      <c r="A18" s="14" t="s">
        <v>21</v>
      </c>
      <c r="B18"/>
      <c r="C18" s="18">
        <f>+C15</f>
        <v>55839.32301999279</v>
      </c>
      <c r="D18" s="19">
        <f>+C16</f>
        <v>4.103063625965999</v>
      </c>
      <c r="E18" s="20" t="s">
        <v>22</v>
      </c>
    </row>
    <row r="19" spans="1:5" ht="12.75">
      <c r="A19" s="21" t="s">
        <v>23</v>
      </c>
      <c r="E19" s="22">
        <v>21</v>
      </c>
    </row>
    <row r="20" spans="1:17" ht="12.75">
      <c r="A20" s="23" t="s">
        <v>24</v>
      </c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3" t="s">
        <v>30</v>
      </c>
      <c r="H20" s="24" t="s">
        <v>31</v>
      </c>
      <c r="I20" s="24" t="s">
        <v>32</v>
      </c>
      <c r="J20" s="24" t="s">
        <v>33</v>
      </c>
      <c r="K20" s="24" t="s">
        <v>34</v>
      </c>
      <c r="L20" s="24" t="s">
        <v>35</v>
      </c>
      <c r="M20" s="24" t="s">
        <v>36</v>
      </c>
      <c r="N20" s="24" t="s">
        <v>37</v>
      </c>
      <c r="O20" s="24" t="s">
        <v>38</v>
      </c>
      <c r="P20" s="24" t="s">
        <v>39</v>
      </c>
      <c r="Q20" s="23" t="s">
        <v>40</v>
      </c>
    </row>
    <row r="21" spans="1:17" ht="12.75">
      <c r="A21" s="25" t="s">
        <v>41</v>
      </c>
      <c r="B21" s="26" t="s">
        <v>42</v>
      </c>
      <c r="C21" s="27">
        <v>35771.23</v>
      </c>
      <c r="D21" s="28"/>
      <c r="E21" s="1">
        <f aca="true" t="shared" si="0" ref="E21:E47">+(C21-C$7)/C$8</f>
        <v>-0.0019497681224497903</v>
      </c>
      <c r="F21" s="1">
        <f aca="true" t="shared" si="1" ref="F21:F47">ROUND(2*E21,0)/2</f>
        <v>0</v>
      </c>
      <c r="G21" s="1">
        <f aca="true" t="shared" si="2" ref="G21:G47">+C21-(C$7+F21*C$8)</f>
        <v>-0.007999999994353857</v>
      </c>
      <c r="K21" s="1">
        <f>+G21</f>
        <v>-0.007999999994353857</v>
      </c>
      <c r="O21" s="1">
        <f aca="true" t="shared" si="3" ref="O21:O47">+C$11+C$12*$F21</f>
        <v>0.0008253930959023874</v>
      </c>
      <c r="Q21" s="45">
        <f aca="true" t="shared" si="4" ref="Q21:Q47">+C21-15018.5</f>
        <v>20752.730000000003</v>
      </c>
    </row>
    <row r="22" spans="1:17" ht="12.75">
      <c r="A22" s="1" t="s">
        <v>31</v>
      </c>
      <c r="C22" s="28">
        <v>35771.238</v>
      </c>
      <c r="D22" s="28" t="s">
        <v>14</v>
      </c>
      <c r="E22" s="1">
        <f t="shared" si="0"/>
        <v>0</v>
      </c>
      <c r="F22" s="1">
        <f t="shared" si="1"/>
        <v>0</v>
      </c>
      <c r="G22" s="1">
        <f t="shared" si="2"/>
        <v>0</v>
      </c>
      <c r="H22" s="1">
        <f>+G22</f>
        <v>0</v>
      </c>
      <c r="O22" s="1">
        <f t="shared" si="3"/>
        <v>0.0008253930959023874</v>
      </c>
      <c r="Q22" s="45">
        <f t="shared" si="4"/>
        <v>20752.737999999998</v>
      </c>
    </row>
    <row r="23" spans="1:17" ht="12.75">
      <c r="A23" s="25" t="s">
        <v>41</v>
      </c>
      <c r="B23" s="26" t="s">
        <v>42</v>
      </c>
      <c r="C23" s="27">
        <v>36378.517</v>
      </c>
      <c r="D23" s="28"/>
      <c r="E23" s="1">
        <f t="shared" si="0"/>
        <v>148.00665455860718</v>
      </c>
      <c r="F23" s="1">
        <f t="shared" si="1"/>
        <v>148</v>
      </c>
      <c r="G23" s="1">
        <f t="shared" si="2"/>
        <v>0.02730400000291411</v>
      </c>
      <c r="K23" s="1">
        <f aca="true" t="shared" si="5" ref="K23:K42">+G23</f>
        <v>0.02730400000291411</v>
      </c>
      <c r="O23" s="1">
        <f t="shared" si="3"/>
        <v>0.002546036063689439</v>
      </c>
      <c r="Q23" s="45">
        <f t="shared" si="4"/>
        <v>21360.017</v>
      </c>
    </row>
    <row r="24" spans="1:17" ht="12.75">
      <c r="A24" s="25" t="s">
        <v>41</v>
      </c>
      <c r="B24" s="26" t="s">
        <v>42</v>
      </c>
      <c r="C24" s="27">
        <v>36452.393</v>
      </c>
      <c r="D24" s="28"/>
      <c r="E24" s="1">
        <f t="shared" si="0"/>
        <v>166.01178829807637</v>
      </c>
      <c r="F24" s="1">
        <f t="shared" si="1"/>
        <v>166</v>
      </c>
      <c r="G24" s="1">
        <f t="shared" si="2"/>
        <v>0.04836799999611685</v>
      </c>
      <c r="K24" s="1">
        <f t="shared" si="5"/>
        <v>0.04836799999611685</v>
      </c>
      <c r="O24" s="1">
        <f t="shared" si="3"/>
        <v>0.0027553034516635396</v>
      </c>
      <c r="Q24" s="45">
        <f t="shared" si="4"/>
        <v>21433.892999999996</v>
      </c>
    </row>
    <row r="25" spans="1:17" ht="12.75">
      <c r="A25" s="25" t="s">
        <v>41</v>
      </c>
      <c r="B25" s="26" t="s">
        <v>42</v>
      </c>
      <c r="C25" s="27">
        <v>36456.405</v>
      </c>
      <c r="D25" s="29"/>
      <c r="E25" s="1">
        <f t="shared" si="0"/>
        <v>166.98959701217564</v>
      </c>
      <c r="F25" s="1">
        <f t="shared" si="1"/>
        <v>167</v>
      </c>
      <c r="G25" s="1">
        <f t="shared" si="2"/>
        <v>-0.04268400000000838</v>
      </c>
      <c r="K25" s="1">
        <f t="shared" si="5"/>
        <v>-0.04268400000000838</v>
      </c>
      <c r="O25" s="1">
        <f t="shared" si="3"/>
        <v>0.0027669294176621007</v>
      </c>
      <c r="Q25" s="45">
        <f t="shared" si="4"/>
        <v>21437.905</v>
      </c>
    </row>
    <row r="26" spans="1:17" ht="12.75">
      <c r="A26" s="25" t="s">
        <v>41</v>
      </c>
      <c r="B26" s="26" t="s">
        <v>42</v>
      </c>
      <c r="C26" s="27">
        <v>36813.437</v>
      </c>
      <c r="D26" s="29"/>
      <c r="E26" s="1">
        <f t="shared" si="0"/>
        <v>254.0057986104004</v>
      </c>
      <c r="F26" s="1">
        <f t="shared" si="1"/>
        <v>254</v>
      </c>
      <c r="G26" s="1">
        <f t="shared" si="2"/>
        <v>0.023791999999957625</v>
      </c>
      <c r="K26" s="1">
        <f t="shared" si="5"/>
        <v>0.023791999999957625</v>
      </c>
      <c r="O26" s="1">
        <f t="shared" si="3"/>
        <v>0.0037783884595369212</v>
      </c>
      <c r="Q26" s="45">
        <f t="shared" si="4"/>
        <v>21794.936999999998</v>
      </c>
    </row>
    <row r="27" spans="1:17" ht="12.75">
      <c r="A27" s="25" t="s">
        <v>41</v>
      </c>
      <c r="B27" s="26" t="s">
        <v>42</v>
      </c>
      <c r="C27" s="27">
        <v>36817.547</v>
      </c>
      <c r="D27" s="29"/>
      <c r="E27" s="1">
        <f t="shared" si="0"/>
        <v>255.00749198401607</v>
      </c>
      <c r="F27" s="1">
        <f t="shared" si="1"/>
        <v>255</v>
      </c>
      <c r="G27" s="1">
        <f t="shared" si="2"/>
        <v>0.030740000001969747</v>
      </c>
      <c r="K27" s="1">
        <f t="shared" si="5"/>
        <v>0.030740000001969747</v>
      </c>
      <c r="O27" s="1">
        <f t="shared" si="3"/>
        <v>0.0037900144255354827</v>
      </c>
      <c r="Q27" s="45">
        <f t="shared" si="4"/>
        <v>21799.047</v>
      </c>
    </row>
    <row r="28" spans="1:17" ht="12.75">
      <c r="A28" s="25" t="s">
        <v>41</v>
      </c>
      <c r="B28" s="26" t="s">
        <v>42</v>
      </c>
      <c r="C28" s="27">
        <v>37174.459</v>
      </c>
      <c r="D28" s="29"/>
      <c r="E28" s="1">
        <f t="shared" si="0"/>
        <v>341.9944470603846</v>
      </c>
      <c r="F28" s="1">
        <f t="shared" si="1"/>
        <v>342</v>
      </c>
      <c r="G28" s="1">
        <f t="shared" si="2"/>
        <v>-0.022783999993407633</v>
      </c>
      <c r="K28" s="1">
        <f t="shared" si="5"/>
        <v>-0.022783999993407633</v>
      </c>
      <c r="O28" s="1">
        <f t="shared" si="3"/>
        <v>0.004801473467410303</v>
      </c>
      <c r="Q28" s="45">
        <f t="shared" si="4"/>
        <v>22155.959000000003</v>
      </c>
    </row>
    <row r="29" spans="1:17" ht="12.75">
      <c r="A29" s="25" t="s">
        <v>41</v>
      </c>
      <c r="B29" s="26" t="s">
        <v>42</v>
      </c>
      <c r="C29" s="27">
        <v>37642.257</v>
      </c>
      <c r="D29" s="29"/>
      <c r="E29" s="1">
        <f t="shared" si="0"/>
        <v>456.00665065907043</v>
      </c>
      <c r="F29" s="1">
        <f t="shared" si="1"/>
        <v>456</v>
      </c>
      <c r="G29" s="1">
        <f t="shared" si="2"/>
        <v>0.027287999997497536</v>
      </c>
      <c r="K29" s="1">
        <f t="shared" si="5"/>
        <v>0.027287999997497536</v>
      </c>
      <c r="O29" s="1">
        <f t="shared" si="3"/>
        <v>0.006126833591246275</v>
      </c>
      <c r="Q29" s="45">
        <f t="shared" si="4"/>
        <v>22623.756999999998</v>
      </c>
    </row>
    <row r="30" spans="1:17" ht="12.75">
      <c r="A30" s="25" t="s">
        <v>41</v>
      </c>
      <c r="B30" s="26" t="s">
        <v>42</v>
      </c>
      <c r="C30" s="27">
        <v>38282.361</v>
      </c>
      <c r="D30" s="29"/>
      <c r="E30" s="1">
        <f t="shared" si="0"/>
        <v>612.0134475507499</v>
      </c>
      <c r="F30" s="1">
        <f t="shared" si="1"/>
        <v>612</v>
      </c>
      <c r="G30" s="1">
        <f t="shared" si="2"/>
        <v>0.05517600000166567</v>
      </c>
      <c r="K30" s="1">
        <f t="shared" si="5"/>
        <v>0.05517600000166567</v>
      </c>
      <c r="O30" s="1">
        <f t="shared" si="3"/>
        <v>0.007940484287021815</v>
      </c>
      <c r="Q30" s="45">
        <f t="shared" si="4"/>
        <v>23263.860999999997</v>
      </c>
    </row>
    <row r="31" spans="1:17" ht="12.75">
      <c r="A31" s="25" t="s">
        <v>41</v>
      </c>
      <c r="B31" s="26" t="s">
        <v>42</v>
      </c>
      <c r="C31" s="27">
        <v>38286.376</v>
      </c>
      <c r="D31" s="29"/>
      <c r="E31" s="1">
        <f t="shared" si="0"/>
        <v>612.9919874278949</v>
      </c>
      <c r="F31" s="1">
        <f t="shared" si="1"/>
        <v>613</v>
      </c>
      <c r="G31" s="1">
        <f t="shared" si="2"/>
        <v>-0.03287600000476232</v>
      </c>
      <c r="K31" s="1">
        <f t="shared" si="5"/>
        <v>-0.03287600000476232</v>
      </c>
      <c r="O31" s="1">
        <f t="shared" si="3"/>
        <v>0.007952110253020377</v>
      </c>
      <c r="Q31" s="45">
        <f t="shared" si="4"/>
        <v>23267.875999999997</v>
      </c>
    </row>
    <row r="32" spans="1:17" ht="12.75">
      <c r="A32" s="25" t="s">
        <v>41</v>
      </c>
      <c r="B32" s="26" t="s">
        <v>42</v>
      </c>
      <c r="C32" s="27">
        <v>38323.333</v>
      </c>
      <c r="D32" s="29"/>
      <c r="E32" s="1">
        <f t="shared" si="0"/>
        <v>621.9991849969246</v>
      </c>
      <c r="F32" s="1">
        <f t="shared" si="1"/>
        <v>622</v>
      </c>
      <c r="G32" s="1">
        <f t="shared" si="2"/>
        <v>-0.00334399999701418</v>
      </c>
      <c r="K32" s="1">
        <f t="shared" si="5"/>
        <v>-0.00334399999701418</v>
      </c>
      <c r="O32" s="1">
        <f t="shared" si="3"/>
        <v>0.008056743947007427</v>
      </c>
      <c r="Q32" s="45">
        <f t="shared" si="4"/>
        <v>23304.833</v>
      </c>
    </row>
    <row r="33" spans="1:17" ht="12.75">
      <c r="A33" s="25" t="s">
        <v>41</v>
      </c>
      <c r="B33" s="26" t="s">
        <v>42</v>
      </c>
      <c r="C33" s="27">
        <v>38495.596</v>
      </c>
      <c r="D33" s="29"/>
      <c r="E33" s="1">
        <f t="shared" si="0"/>
        <v>663.9832982862514</v>
      </c>
      <c r="F33" s="1">
        <f t="shared" si="1"/>
        <v>664</v>
      </c>
      <c r="G33" s="1">
        <f t="shared" si="2"/>
        <v>-0.06852799999614945</v>
      </c>
      <c r="K33" s="1">
        <f t="shared" si="5"/>
        <v>-0.06852799999614945</v>
      </c>
      <c r="O33" s="1">
        <f t="shared" si="3"/>
        <v>0.008545034518946996</v>
      </c>
      <c r="Q33" s="45">
        <f t="shared" si="4"/>
        <v>23477.095999999998</v>
      </c>
    </row>
    <row r="34" spans="1:17" ht="12.75">
      <c r="A34" s="25" t="s">
        <v>41</v>
      </c>
      <c r="B34" s="26" t="s">
        <v>42</v>
      </c>
      <c r="C34" s="27">
        <v>38528.536</v>
      </c>
      <c r="D34" s="29"/>
      <c r="E34" s="1">
        <f t="shared" si="0"/>
        <v>672.011468536105</v>
      </c>
      <c r="F34" s="1">
        <f t="shared" si="1"/>
        <v>672</v>
      </c>
      <c r="G34" s="1">
        <f t="shared" si="2"/>
        <v>0.04705600000306731</v>
      </c>
      <c r="K34" s="1">
        <f t="shared" si="5"/>
        <v>0.04705600000306731</v>
      </c>
      <c r="O34" s="1">
        <f t="shared" si="3"/>
        <v>0.008638042246935485</v>
      </c>
      <c r="Q34" s="45">
        <f t="shared" si="4"/>
        <v>23510.036</v>
      </c>
    </row>
    <row r="35" spans="1:17" ht="12.75">
      <c r="A35" s="25" t="s">
        <v>41</v>
      </c>
      <c r="B35" s="26" t="s">
        <v>42</v>
      </c>
      <c r="C35" s="27">
        <v>38852.602</v>
      </c>
      <c r="D35" s="29"/>
      <c r="E35" s="1">
        <f t="shared" si="0"/>
        <v>750.9931631380741</v>
      </c>
      <c r="F35" s="1">
        <f t="shared" si="1"/>
        <v>751</v>
      </c>
      <c r="G35" s="1">
        <f t="shared" si="2"/>
        <v>-0.028052000001480337</v>
      </c>
      <c r="K35" s="1">
        <f t="shared" si="5"/>
        <v>-0.028052000001480337</v>
      </c>
      <c r="O35" s="1">
        <f t="shared" si="3"/>
        <v>0.009556493560821817</v>
      </c>
      <c r="Q35" s="45">
        <f t="shared" si="4"/>
        <v>23834.102</v>
      </c>
    </row>
    <row r="36" spans="1:17" ht="12.75">
      <c r="A36" s="25" t="s">
        <v>41</v>
      </c>
      <c r="B36" s="26" t="s">
        <v>42</v>
      </c>
      <c r="C36" s="27">
        <v>39287.482</v>
      </c>
      <c r="D36" s="29"/>
      <c r="E36" s="1">
        <f t="shared" si="0"/>
        <v>856.9825583492498</v>
      </c>
      <c r="F36" s="1">
        <f t="shared" si="1"/>
        <v>857</v>
      </c>
      <c r="G36" s="1">
        <f t="shared" si="2"/>
        <v>-0.07156399999075802</v>
      </c>
      <c r="K36" s="1">
        <f t="shared" si="5"/>
        <v>-0.07156399999075802</v>
      </c>
      <c r="O36" s="1">
        <f t="shared" si="3"/>
        <v>0.0107888459566693</v>
      </c>
      <c r="Q36" s="45">
        <f t="shared" si="4"/>
        <v>24268.982000000004</v>
      </c>
    </row>
    <row r="37" spans="1:17" ht="12.75">
      <c r="A37" s="25" t="s">
        <v>41</v>
      </c>
      <c r="B37" s="26" t="s">
        <v>42</v>
      </c>
      <c r="C37" s="27">
        <v>39681.469</v>
      </c>
      <c r="D37" s="29"/>
      <c r="E37" s="1">
        <f t="shared" si="0"/>
        <v>953.0054700744713</v>
      </c>
      <c r="F37" s="1">
        <f t="shared" si="1"/>
        <v>953</v>
      </c>
      <c r="G37" s="1">
        <f t="shared" si="2"/>
        <v>0.022444000001996756</v>
      </c>
      <c r="K37" s="1">
        <f t="shared" si="5"/>
        <v>0.022444000001996756</v>
      </c>
      <c r="O37" s="1">
        <f t="shared" si="3"/>
        <v>0.01190493869253117</v>
      </c>
      <c r="Q37" s="45">
        <f t="shared" si="4"/>
        <v>24662.968999999997</v>
      </c>
    </row>
    <row r="38" spans="1:17" ht="12.75">
      <c r="A38" s="25" t="s">
        <v>41</v>
      </c>
      <c r="B38" s="26" t="s">
        <v>42</v>
      </c>
      <c r="C38" s="27">
        <v>39964.538</v>
      </c>
      <c r="D38" s="29"/>
      <c r="E38" s="1">
        <f t="shared" si="0"/>
        <v>1021.9953342048805</v>
      </c>
      <c r="F38" s="1">
        <f t="shared" si="1"/>
        <v>1022</v>
      </c>
      <c r="G38" s="1">
        <f t="shared" si="2"/>
        <v>-0.019143999998050276</v>
      </c>
      <c r="K38" s="1">
        <f t="shared" si="5"/>
        <v>-0.019143999998050276</v>
      </c>
      <c r="O38" s="1">
        <f t="shared" si="3"/>
        <v>0.01270713034643189</v>
      </c>
      <c r="Q38" s="45">
        <f t="shared" si="4"/>
        <v>24946.038</v>
      </c>
    </row>
    <row r="39" spans="1:17" ht="12.75">
      <c r="A39" s="25" t="s">
        <v>41</v>
      </c>
      <c r="B39" s="26" t="s">
        <v>42</v>
      </c>
      <c r="C39" s="27">
        <v>40116.39</v>
      </c>
      <c r="D39" s="29"/>
      <c r="E39" s="1">
        <f t="shared" si="0"/>
        <v>1059.004857847281</v>
      </c>
      <c r="F39" s="1">
        <f t="shared" si="1"/>
        <v>1059</v>
      </c>
      <c r="G39" s="1">
        <f t="shared" si="2"/>
        <v>0.019932000002881978</v>
      </c>
      <c r="K39" s="1">
        <f t="shared" si="5"/>
        <v>0.019932000002881978</v>
      </c>
      <c r="O39" s="1">
        <f t="shared" si="3"/>
        <v>0.013137291088378654</v>
      </c>
      <c r="Q39" s="45">
        <f t="shared" si="4"/>
        <v>25097.89</v>
      </c>
    </row>
    <row r="40" spans="1:17" ht="12.75">
      <c r="A40" s="25" t="s">
        <v>41</v>
      </c>
      <c r="B40" s="26" t="s">
        <v>42</v>
      </c>
      <c r="C40" s="27">
        <v>40153.34</v>
      </c>
      <c r="D40" s="29"/>
      <c r="E40" s="1">
        <f t="shared" si="0"/>
        <v>1068.010349369201</v>
      </c>
      <c r="F40" s="1">
        <f t="shared" si="1"/>
        <v>1068</v>
      </c>
      <c r="G40" s="1">
        <f t="shared" si="2"/>
        <v>0.04246399999829009</v>
      </c>
      <c r="K40" s="1">
        <f t="shared" si="5"/>
        <v>0.04246399999829009</v>
      </c>
      <c r="O40" s="1">
        <f t="shared" si="3"/>
        <v>0.013241924782365704</v>
      </c>
      <c r="Q40" s="45">
        <f t="shared" si="4"/>
        <v>25134.839999999997</v>
      </c>
    </row>
    <row r="41" spans="1:17" ht="12.75">
      <c r="A41" s="25" t="s">
        <v>41</v>
      </c>
      <c r="B41" s="26" t="s">
        <v>42</v>
      </c>
      <c r="C41" s="27">
        <v>40473.389</v>
      </c>
      <c r="D41" s="29"/>
      <c r="E41" s="1">
        <f t="shared" si="0"/>
        <v>1146.013016651996</v>
      </c>
      <c r="F41" s="1">
        <f t="shared" si="1"/>
        <v>1146</v>
      </c>
      <c r="G41" s="1">
        <f t="shared" si="2"/>
        <v>0.053408000007038936</v>
      </c>
      <c r="K41" s="1">
        <f t="shared" si="5"/>
        <v>0.053408000007038936</v>
      </c>
      <c r="O41" s="1">
        <f t="shared" si="3"/>
        <v>0.014148750130253475</v>
      </c>
      <c r="Q41" s="45">
        <f t="shared" si="4"/>
        <v>25454.889000000003</v>
      </c>
    </row>
    <row r="42" spans="1:17" ht="12.75">
      <c r="A42" s="25" t="s">
        <v>41</v>
      </c>
      <c r="B42" s="26" t="s">
        <v>42</v>
      </c>
      <c r="C42" s="27">
        <v>41548.423</v>
      </c>
      <c r="D42" s="29"/>
      <c r="E42" s="1">
        <f t="shared" si="0"/>
        <v>1408.021394805624</v>
      </c>
      <c r="F42" s="1">
        <f t="shared" si="1"/>
        <v>1408</v>
      </c>
      <c r="G42" s="1">
        <f t="shared" si="2"/>
        <v>0.0877840000030119</v>
      </c>
      <c r="K42" s="1">
        <f t="shared" si="5"/>
        <v>0.0877840000030119</v>
      </c>
      <c r="O42" s="1">
        <f t="shared" si="3"/>
        <v>0.017194753221876496</v>
      </c>
      <c r="Q42" s="45">
        <f t="shared" si="4"/>
        <v>26529.923000000003</v>
      </c>
    </row>
    <row r="43" spans="1:32" ht="12.75">
      <c r="A43" s="1" t="s">
        <v>43</v>
      </c>
      <c r="C43" s="28">
        <v>48482.511</v>
      </c>
      <c r="D43" s="28">
        <v>0.014</v>
      </c>
      <c r="E43" s="1">
        <f t="shared" si="0"/>
        <v>3098.0043635810616</v>
      </c>
      <c r="F43" s="1">
        <f t="shared" si="1"/>
        <v>3098</v>
      </c>
      <c r="G43" s="1">
        <f t="shared" si="2"/>
        <v>0.01790400000027148</v>
      </c>
      <c r="I43" s="1">
        <f>+G43</f>
        <v>0.01790400000027148</v>
      </c>
      <c r="O43" s="1">
        <f t="shared" si="3"/>
        <v>0.03684263575944485</v>
      </c>
      <c r="Q43" s="45">
        <f t="shared" si="4"/>
        <v>33464.011</v>
      </c>
      <c r="AB43" s="1">
        <v>24</v>
      </c>
      <c r="AD43" s="1" t="s">
        <v>44</v>
      </c>
      <c r="AF43" s="1" t="s">
        <v>45</v>
      </c>
    </row>
    <row r="44" spans="1:17" ht="12.75">
      <c r="A44" t="s">
        <v>46</v>
      </c>
      <c r="B44" s="30"/>
      <c r="C44" s="31">
        <v>53619.5669</v>
      </c>
      <c r="D44" s="31">
        <v>0.0007</v>
      </c>
      <c r="E44" s="1">
        <f t="shared" si="0"/>
        <v>4350.012844097516</v>
      </c>
      <c r="F44" s="1">
        <f t="shared" si="1"/>
        <v>4350</v>
      </c>
      <c r="G44" s="1">
        <f t="shared" si="2"/>
        <v>0.052700000000186265</v>
      </c>
      <c r="J44" s="1">
        <f>+G44</f>
        <v>0.052700000000186265</v>
      </c>
      <c r="O44" s="1">
        <f t="shared" si="3"/>
        <v>0.051398345189643424</v>
      </c>
      <c r="Q44" s="45">
        <f t="shared" si="4"/>
        <v>38601.0669</v>
      </c>
    </row>
    <row r="45" spans="1:17" ht="12.75">
      <c r="A45" s="25" t="s">
        <v>47</v>
      </c>
      <c r="B45" s="26" t="s">
        <v>42</v>
      </c>
      <c r="C45" s="27">
        <v>55802.3963</v>
      </c>
      <c r="D45" s="29"/>
      <c r="E45" s="1">
        <f t="shared" si="0"/>
        <v>4882.014242081261</v>
      </c>
      <c r="F45" s="1">
        <f t="shared" si="1"/>
        <v>4882</v>
      </c>
      <c r="G45" s="1">
        <f t="shared" si="2"/>
        <v>0.05843599999934668</v>
      </c>
      <c r="K45" s="1">
        <f>+G45</f>
        <v>0.05843599999934668</v>
      </c>
      <c r="O45" s="1">
        <f t="shared" si="3"/>
        <v>0.05758335910087796</v>
      </c>
      <c r="Q45" s="45">
        <f t="shared" si="4"/>
        <v>40783.8963</v>
      </c>
    </row>
    <row r="46" spans="1:17" ht="12.75">
      <c r="A46" s="25" t="s">
        <v>47</v>
      </c>
      <c r="B46" s="26" t="s">
        <v>42</v>
      </c>
      <c r="C46" s="27">
        <v>55802.3972</v>
      </c>
      <c r="D46" s="29"/>
      <c r="E46" s="1">
        <f t="shared" si="0"/>
        <v>4882.014461430175</v>
      </c>
      <c r="F46" s="1">
        <f t="shared" si="1"/>
        <v>4882</v>
      </c>
      <c r="G46" s="1">
        <f t="shared" si="2"/>
        <v>0.05933599999843864</v>
      </c>
      <c r="K46" s="1">
        <f>+G46</f>
        <v>0.05933599999843864</v>
      </c>
      <c r="O46" s="1">
        <f t="shared" si="3"/>
        <v>0.05758335910087796</v>
      </c>
      <c r="Q46" s="45">
        <f t="shared" si="4"/>
        <v>40783.8972</v>
      </c>
    </row>
    <row r="47" spans="1:17" ht="12.75">
      <c r="A47" s="25" t="s">
        <v>48</v>
      </c>
      <c r="B47" s="26" t="s">
        <v>42</v>
      </c>
      <c r="C47" s="27">
        <v>55839.3213</v>
      </c>
      <c r="D47" s="29"/>
      <c r="E47" s="1">
        <f t="shared" si="0"/>
        <v>4891.013640577796</v>
      </c>
      <c r="F47" s="1">
        <f t="shared" si="1"/>
        <v>4891</v>
      </c>
      <c r="G47" s="1">
        <f t="shared" si="2"/>
        <v>0.055968000007851515</v>
      </c>
      <c r="K47" s="1">
        <f>+G47</f>
        <v>0.055968000007851515</v>
      </c>
      <c r="O47" s="1">
        <f t="shared" si="3"/>
        <v>0.057687992794865015</v>
      </c>
      <c r="Q47" s="45">
        <f t="shared" si="4"/>
        <v>40820.8213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9.7109375" style="32" customWidth="1"/>
    <col min="2" max="2" width="4.421875" style="0" customWidth="1"/>
    <col min="3" max="3" width="12.7109375" style="32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32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33" t="s">
        <v>49</v>
      </c>
      <c r="I1" s="34" t="s">
        <v>50</v>
      </c>
      <c r="J1" s="35" t="s">
        <v>51</v>
      </c>
    </row>
    <row r="2" spans="9:10" ht="12.75">
      <c r="I2" s="36" t="s">
        <v>52</v>
      </c>
      <c r="J2" s="37" t="s">
        <v>53</v>
      </c>
    </row>
    <row r="3" spans="1:10" ht="12.75">
      <c r="A3" s="38" t="s">
        <v>54</v>
      </c>
      <c r="I3" s="36" t="s">
        <v>55</v>
      </c>
      <c r="J3" s="37" t="s">
        <v>56</v>
      </c>
    </row>
    <row r="4" spans="9:10" ht="12.75">
      <c r="I4" s="36" t="s">
        <v>57</v>
      </c>
      <c r="J4" s="37" t="s">
        <v>56</v>
      </c>
    </row>
    <row r="5" spans="9:10" ht="12.75">
      <c r="I5" s="39" t="s">
        <v>58</v>
      </c>
      <c r="J5" s="40" t="s">
        <v>59</v>
      </c>
    </row>
    <row r="11" spans="1:16" ht="12.75" customHeight="1">
      <c r="A11" s="32" t="str">
        <f aca="true" t="shared" si="0" ref="A11:A36">P11</f>
        <v> BBS 99 </v>
      </c>
      <c r="B11" s="11" t="str">
        <f aca="true" t="shared" si="1" ref="B11:B36">IF(H11=INT(H11),"I","II")</f>
        <v>I</v>
      </c>
      <c r="C11" s="32">
        <f aca="true" t="shared" si="2" ref="C11:C36">1*G11</f>
        <v>48482.511</v>
      </c>
      <c r="D11" t="str">
        <f aca="true" t="shared" si="3" ref="D11:D36">VLOOKUP(F11,I$1:J$5,2,FALSE)</f>
        <v>vis</v>
      </c>
      <c r="E11">
        <f>VLOOKUP(C11,A!C$21:E$973,3,FALSE)</f>
        <v>3098.0043635810616</v>
      </c>
      <c r="F11" s="11" t="s">
        <v>58</v>
      </c>
      <c r="G11" t="str">
        <f aca="true" t="shared" si="4" ref="G11:G36">MID(I11,3,LEN(I11)-3)</f>
        <v>48482.511</v>
      </c>
      <c r="H11" s="32">
        <f aca="true" t="shared" si="5" ref="H11:H36">1*K11</f>
        <v>3098</v>
      </c>
      <c r="I11" s="41" t="s">
        <v>60</v>
      </c>
      <c r="J11" s="42" t="s">
        <v>61</v>
      </c>
      <c r="K11" s="41">
        <v>3098</v>
      </c>
      <c r="L11" s="41" t="s">
        <v>62</v>
      </c>
      <c r="M11" s="42" t="s">
        <v>63</v>
      </c>
      <c r="N11" s="42"/>
      <c r="O11" s="43" t="s">
        <v>64</v>
      </c>
      <c r="P11" s="43" t="s">
        <v>65</v>
      </c>
    </row>
    <row r="12" spans="1:16" ht="12.75" customHeight="1">
      <c r="A12" s="32" t="str">
        <f t="shared" si="0"/>
        <v>BAVM 178 </v>
      </c>
      <c r="B12" s="11" t="str">
        <f t="shared" si="1"/>
        <v>I</v>
      </c>
      <c r="C12" s="32">
        <f t="shared" si="2"/>
        <v>53619.5669</v>
      </c>
      <c r="D12" t="str">
        <f t="shared" si="3"/>
        <v>vis</v>
      </c>
      <c r="E12">
        <f>VLOOKUP(C12,A!C$21:E$973,3,FALSE)</f>
        <v>4350.012844097516</v>
      </c>
      <c r="F12" s="11" t="s">
        <v>58</v>
      </c>
      <c r="G12" t="str">
        <f t="shared" si="4"/>
        <v>53619.5669</v>
      </c>
      <c r="H12" s="32">
        <f t="shared" si="5"/>
        <v>4350</v>
      </c>
      <c r="I12" s="41" t="s">
        <v>66</v>
      </c>
      <c r="J12" s="42" t="s">
        <v>67</v>
      </c>
      <c r="K12" s="41">
        <v>4350</v>
      </c>
      <c r="L12" s="41" t="s">
        <v>68</v>
      </c>
      <c r="M12" s="42" t="s">
        <v>69</v>
      </c>
      <c r="N12" s="42" t="s">
        <v>70</v>
      </c>
      <c r="O12" s="43" t="s">
        <v>71</v>
      </c>
      <c r="P12" s="44" t="s">
        <v>72</v>
      </c>
    </row>
    <row r="13" spans="1:16" ht="12.75" customHeight="1">
      <c r="A13" s="32" t="str">
        <f t="shared" si="0"/>
        <v> MHAR 6.4 </v>
      </c>
      <c r="B13" s="11" t="str">
        <f t="shared" si="1"/>
        <v>I</v>
      </c>
      <c r="C13" s="32">
        <f t="shared" si="2"/>
        <v>35771.23</v>
      </c>
      <c r="D13" t="str">
        <f t="shared" si="3"/>
        <v>vis</v>
      </c>
      <c r="E13">
        <f>VLOOKUP(C13,A!C$21:E$973,3,FALSE)</f>
        <v>-0.0019497681224497903</v>
      </c>
      <c r="F13" s="11" t="s">
        <v>58</v>
      </c>
      <c r="G13" t="str">
        <f t="shared" si="4"/>
        <v>35771.23</v>
      </c>
      <c r="H13" s="32">
        <f t="shared" si="5"/>
        <v>0</v>
      </c>
      <c r="I13" s="41" t="s">
        <v>73</v>
      </c>
      <c r="J13" s="42" t="s">
        <v>74</v>
      </c>
      <c r="K13" s="41">
        <v>0</v>
      </c>
      <c r="L13" s="41" t="s">
        <v>75</v>
      </c>
      <c r="M13" s="42" t="s">
        <v>76</v>
      </c>
      <c r="N13" s="42"/>
      <c r="O13" s="43" t="s">
        <v>77</v>
      </c>
      <c r="P13" s="43" t="s">
        <v>41</v>
      </c>
    </row>
    <row r="14" spans="1:16" ht="12.75" customHeight="1">
      <c r="A14" s="32" t="str">
        <f t="shared" si="0"/>
        <v> MHAR 6.4 </v>
      </c>
      <c r="B14" s="11" t="str">
        <f t="shared" si="1"/>
        <v>I</v>
      </c>
      <c r="C14" s="32">
        <f t="shared" si="2"/>
        <v>36378.517</v>
      </c>
      <c r="D14" t="str">
        <f t="shared" si="3"/>
        <v>vis</v>
      </c>
      <c r="E14">
        <f>VLOOKUP(C14,A!C$21:E$973,3,FALSE)</f>
        <v>148.00665455860718</v>
      </c>
      <c r="F14" s="11" t="s">
        <v>58</v>
      </c>
      <c r="G14" t="str">
        <f t="shared" si="4"/>
        <v>36378.517</v>
      </c>
      <c r="H14" s="32">
        <f t="shared" si="5"/>
        <v>148</v>
      </c>
      <c r="I14" s="41" t="s">
        <v>78</v>
      </c>
      <c r="J14" s="42" t="s">
        <v>79</v>
      </c>
      <c r="K14" s="41">
        <v>148</v>
      </c>
      <c r="L14" s="41" t="s">
        <v>80</v>
      </c>
      <c r="M14" s="42" t="s">
        <v>81</v>
      </c>
      <c r="N14" s="42"/>
      <c r="O14" s="43" t="s">
        <v>82</v>
      </c>
      <c r="P14" s="43" t="s">
        <v>41</v>
      </c>
    </row>
    <row r="15" spans="1:16" ht="12.75" customHeight="1">
      <c r="A15" s="32" t="str">
        <f t="shared" si="0"/>
        <v> MHAR 6.4 </v>
      </c>
      <c r="B15" s="11" t="str">
        <f t="shared" si="1"/>
        <v>I</v>
      </c>
      <c r="C15" s="32">
        <f t="shared" si="2"/>
        <v>36452.393</v>
      </c>
      <c r="D15" t="str">
        <f t="shared" si="3"/>
        <v>vis</v>
      </c>
      <c r="E15">
        <f>VLOOKUP(C15,A!C$21:E$973,3,FALSE)</f>
        <v>166.01178829807637</v>
      </c>
      <c r="F15" s="11" t="s">
        <v>58</v>
      </c>
      <c r="G15" t="str">
        <f t="shared" si="4"/>
        <v>36452.393</v>
      </c>
      <c r="H15" s="32">
        <f t="shared" si="5"/>
        <v>166</v>
      </c>
      <c r="I15" s="41" t="s">
        <v>83</v>
      </c>
      <c r="J15" s="42" t="s">
        <v>84</v>
      </c>
      <c r="K15" s="41">
        <v>166</v>
      </c>
      <c r="L15" s="41" t="s">
        <v>85</v>
      </c>
      <c r="M15" s="42" t="s">
        <v>81</v>
      </c>
      <c r="N15" s="42"/>
      <c r="O15" s="43" t="s">
        <v>82</v>
      </c>
      <c r="P15" s="43" t="s">
        <v>41</v>
      </c>
    </row>
    <row r="16" spans="1:16" ht="12.75" customHeight="1">
      <c r="A16" s="32" t="str">
        <f t="shared" si="0"/>
        <v> MHAR 6.4 </v>
      </c>
      <c r="B16" s="11" t="str">
        <f t="shared" si="1"/>
        <v>I</v>
      </c>
      <c r="C16" s="32">
        <f t="shared" si="2"/>
        <v>36456.405</v>
      </c>
      <c r="D16" t="str">
        <f t="shared" si="3"/>
        <v>vis</v>
      </c>
      <c r="E16">
        <f>VLOOKUP(C16,A!C$21:E$973,3,FALSE)</f>
        <v>166.98959701217564</v>
      </c>
      <c r="F16" s="11" t="s">
        <v>58</v>
      </c>
      <c r="G16" t="str">
        <f t="shared" si="4"/>
        <v>36456.405</v>
      </c>
      <c r="H16" s="32">
        <f t="shared" si="5"/>
        <v>167</v>
      </c>
      <c r="I16" s="41" t="s">
        <v>86</v>
      </c>
      <c r="J16" s="42" t="s">
        <v>87</v>
      </c>
      <c r="K16" s="41">
        <v>167</v>
      </c>
      <c r="L16" s="41" t="s">
        <v>88</v>
      </c>
      <c r="M16" s="42" t="s">
        <v>81</v>
      </c>
      <c r="N16" s="42"/>
      <c r="O16" s="43" t="s">
        <v>82</v>
      </c>
      <c r="P16" s="43" t="s">
        <v>41</v>
      </c>
    </row>
    <row r="17" spans="1:16" ht="12.75" customHeight="1">
      <c r="A17" s="32" t="str">
        <f t="shared" si="0"/>
        <v> MHAR 6.4 </v>
      </c>
      <c r="B17" s="11" t="str">
        <f t="shared" si="1"/>
        <v>I</v>
      </c>
      <c r="C17" s="32">
        <f t="shared" si="2"/>
        <v>36813.437</v>
      </c>
      <c r="D17" t="str">
        <f t="shared" si="3"/>
        <v>vis</v>
      </c>
      <c r="E17">
        <f>VLOOKUP(C17,A!C$21:E$973,3,FALSE)</f>
        <v>254.0057986104004</v>
      </c>
      <c r="F17" s="11" t="s">
        <v>58</v>
      </c>
      <c r="G17" t="str">
        <f t="shared" si="4"/>
        <v>36813.437</v>
      </c>
      <c r="H17" s="32">
        <f t="shared" si="5"/>
        <v>254</v>
      </c>
      <c r="I17" s="41" t="s">
        <v>89</v>
      </c>
      <c r="J17" s="42" t="s">
        <v>90</v>
      </c>
      <c r="K17" s="41">
        <v>254</v>
      </c>
      <c r="L17" s="41" t="s">
        <v>91</v>
      </c>
      <c r="M17" s="42" t="s">
        <v>81</v>
      </c>
      <c r="N17" s="42"/>
      <c r="O17" s="43" t="s">
        <v>82</v>
      </c>
      <c r="P17" s="43" t="s">
        <v>41</v>
      </c>
    </row>
    <row r="18" spans="1:16" ht="12.75" customHeight="1">
      <c r="A18" s="32" t="str">
        <f t="shared" si="0"/>
        <v> MHAR 6.4 </v>
      </c>
      <c r="B18" s="11" t="str">
        <f t="shared" si="1"/>
        <v>I</v>
      </c>
      <c r="C18" s="32">
        <f t="shared" si="2"/>
        <v>36817.547</v>
      </c>
      <c r="D18" t="str">
        <f t="shared" si="3"/>
        <v>vis</v>
      </c>
      <c r="E18">
        <f>VLOOKUP(C18,A!C$21:E$973,3,FALSE)</f>
        <v>255.00749198401607</v>
      </c>
      <c r="F18" s="11" t="s">
        <v>58</v>
      </c>
      <c r="G18" t="str">
        <f t="shared" si="4"/>
        <v>36817.547</v>
      </c>
      <c r="H18" s="32">
        <f t="shared" si="5"/>
        <v>255</v>
      </c>
      <c r="I18" s="41" t="s">
        <v>92</v>
      </c>
      <c r="J18" s="42" t="s">
        <v>93</v>
      </c>
      <c r="K18" s="41">
        <v>255</v>
      </c>
      <c r="L18" s="41" t="s">
        <v>94</v>
      </c>
      <c r="M18" s="42" t="s">
        <v>81</v>
      </c>
      <c r="N18" s="42"/>
      <c r="O18" s="43" t="s">
        <v>82</v>
      </c>
      <c r="P18" s="43" t="s">
        <v>41</v>
      </c>
    </row>
    <row r="19" spans="1:16" ht="12.75" customHeight="1">
      <c r="A19" s="32" t="str">
        <f t="shared" si="0"/>
        <v> MHAR 6.4 </v>
      </c>
      <c r="B19" s="11" t="str">
        <f t="shared" si="1"/>
        <v>I</v>
      </c>
      <c r="C19" s="32">
        <f t="shared" si="2"/>
        <v>37174.459</v>
      </c>
      <c r="D19" t="str">
        <f t="shared" si="3"/>
        <v>vis</v>
      </c>
      <c r="E19">
        <f>VLOOKUP(C19,A!C$21:E$973,3,FALSE)</f>
        <v>341.9944470603846</v>
      </c>
      <c r="F19" s="11" t="s">
        <v>58</v>
      </c>
      <c r="G19" t="str">
        <f t="shared" si="4"/>
        <v>37174.459</v>
      </c>
      <c r="H19" s="32">
        <f t="shared" si="5"/>
        <v>342</v>
      </c>
      <c r="I19" s="41" t="s">
        <v>95</v>
      </c>
      <c r="J19" s="42" t="s">
        <v>96</v>
      </c>
      <c r="K19" s="41">
        <v>342</v>
      </c>
      <c r="L19" s="41" t="s">
        <v>97</v>
      </c>
      <c r="M19" s="42" t="s">
        <v>81</v>
      </c>
      <c r="N19" s="42"/>
      <c r="O19" s="43" t="s">
        <v>82</v>
      </c>
      <c r="P19" s="43" t="s">
        <v>41</v>
      </c>
    </row>
    <row r="20" spans="1:16" ht="12.75" customHeight="1">
      <c r="A20" s="32" t="str">
        <f t="shared" si="0"/>
        <v> MHAR 6.4 </v>
      </c>
      <c r="B20" s="11" t="str">
        <f t="shared" si="1"/>
        <v>I</v>
      </c>
      <c r="C20" s="32">
        <f t="shared" si="2"/>
        <v>37642.257</v>
      </c>
      <c r="D20" t="str">
        <f t="shared" si="3"/>
        <v>vis</v>
      </c>
      <c r="E20">
        <f>VLOOKUP(C20,A!C$21:E$973,3,FALSE)</f>
        <v>456.00665065907043</v>
      </c>
      <c r="F20" s="11" t="s">
        <v>58</v>
      </c>
      <c r="G20" t="str">
        <f t="shared" si="4"/>
        <v>37642.257</v>
      </c>
      <c r="H20" s="32">
        <f t="shared" si="5"/>
        <v>456</v>
      </c>
      <c r="I20" s="41" t="s">
        <v>98</v>
      </c>
      <c r="J20" s="42" t="s">
        <v>99</v>
      </c>
      <c r="K20" s="41">
        <v>456</v>
      </c>
      <c r="L20" s="41" t="s">
        <v>80</v>
      </c>
      <c r="M20" s="42" t="s">
        <v>81</v>
      </c>
      <c r="N20" s="42"/>
      <c r="O20" s="43" t="s">
        <v>82</v>
      </c>
      <c r="P20" s="43" t="s">
        <v>41</v>
      </c>
    </row>
    <row r="21" spans="1:16" ht="12.75" customHeight="1">
      <c r="A21" s="32" t="str">
        <f t="shared" si="0"/>
        <v> MHAR 6.4 </v>
      </c>
      <c r="B21" s="11" t="str">
        <f t="shared" si="1"/>
        <v>I</v>
      </c>
      <c r="C21" s="32">
        <f t="shared" si="2"/>
        <v>38282.361</v>
      </c>
      <c r="D21" t="str">
        <f t="shared" si="3"/>
        <v>vis</v>
      </c>
      <c r="E21">
        <f>VLOOKUP(C21,A!C$21:E$973,3,FALSE)</f>
        <v>612.0134475507499</v>
      </c>
      <c r="F21" s="11" t="s">
        <v>58</v>
      </c>
      <c r="G21" t="str">
        <f t="shared" si="4"/>
        <v>38282.361</v>
      </c>
      <c r="H21" s="32">
        <f t="shared" si="5"/>
        <v>612</v>
      </c>
      <c r="I21" s="41" t="s">
        <v>100</v>
      </c>
      <c r="J21" s="42" t="s">
        <v>101</v>
      </c>
      <c r="K21" s="41">
        <v>612</v>
      </c>
      <c r="L21" s="41" t="s">
        <v>102</v>
      </c>
      <c r="M21" s="42" t="s">
        <v>81</v>
      </c>
      <c r="N21" s="42"/>
      <c r="O21" s="43" t="s">
        <v>82</v>
      </c>
      <c r="P21" s="43" t="s">
        <v>41</v>
      </c>
    </row>
    <row r="22" spans="1:16" ht="12.75" customHeight="1">
      <c r="A22" s="32" t="str">
        <f t="shared" si="0"/>
        <v> MHAR 6.4 </v>
      </c>
      <c r="B22" s="11" t="str">
        <f t="shared" si="1"/>
        <v>I</v>
      </c>
      <c r="C22" s="32">
        <f t="shared" si="2"/>
        <v>38286.376</v>
      </c>
      <c r="D22" t="str">
        <f t="shared" si="3"/>
        <v>vis</v>
      </c>
      <c r="E22">
        <f>VLOOKUP(C22,A!C$21:E$973,3,FALSE)</f>
        <v>612.9919874278949</v>
      </c>
      <c r="F22" s="11" t="s">
        <v>58</v>
      </c>
      <c r="G22" t="str">
        <f t="shared" si="4"/>
        <v>38286.376</v>
      </c>
      <c r="H22" s="32">
        <f t="shared" si="5"/>
        <v>613</v>
      </c>
      <c r="I22" s="41" t="s">
        <v>103</v>
      </c>
      <c r="J22" s="42" t="s">
        <v>104</v>
      </c>
      <c r="K22" s="41">
        <v>613</v>
      </c>
      <c r="L22" s="41" t="s">
        <v>105</v>
      </c>
      <c r="M22" s="42" t="s">
        <v>81</v>
      </c>
      <c r="N22" s="42"/>
      <c r="O22" s="43" t="s">
        <v>82</v>
      </c>
      <c r="P22" s="43" t="s">
        <v>41</v>
      </c>
    </row>
    <row r="23" spans="1:16" ht="12.75" customHeight="1">
      <c r="A23" s="32" t="str">
        <f t="shared" si="0"/>
        <v> MHAR 6.4 </v>
      </c>
      <c r="B23" s="11" t="str">
        <f t="shared" si="1"/>
        <v>I</v>
      </c>
      <c r="C23" s="32">
        <f t="shared" si="2"/>
        <v>38323.333</v>
      </c>
      <c r="D23" t="str">
        <f t="shared" si="3"/>
        <v>vis</v>
      </c>
      <c r="E23">
        <f>VLOOKUP(C23,A!C$21:E$973,3,FALSE)</f>
        <v>621.9991849969246</v>
      </c>
      <c r="F23" s="11" t="s">
        <v>58</v>
      </c>
      <c r="G23" t="str">
        <f t="shared" si="4"/>
        <v>38323.333</v>
      </c>
      <c r="H23" s="32">
        <f t="shared" si="5"/>
        <v>622</v>
      </c>
      <c r="I23" s="41" t="s">
        <v>106</v>
      </c>
      <c r="J23" s="42" t="s">
        <v>107</v>
      </c>
      <c r="K23" s="41">
        <v>622</v>
      </c>
      <c r="L23" s="41" t="s">
        <v>108</v>
      </c>
      <c r="M23" s="42" t="s">
        <v>81</v>
      </c>
      <c r="N23" s="42"/>
      <c r="O23" s="43" t="s">
        <v>82</v>
      </c>
      <c r="P23" s="43" t="s">
        <v>41</v>
      </c>
    </row>
    <row r="24" spans="1:16" ht="12.75" customHeight="1">
      <c r="A24" s="32" t="str">
        <f t="shared" si="0"/>
        <v> MHAR 6.4 </v>
      </c>
      <c r="B24" s="11" t="str">
        <f t="shared" si="1"/>
        <v>I</v>
      </c>
      <c r="C24" s="32">
        <f t="shared" si="2"/>
        <v>38495.596</v>
      </c>
      <c r="D24" t="str">
        <f t="shared" si="3"/>
        <v>vis</v>
      </c>
      <c r="E24">
        <f>VLOOKUP(C24,A!C$21:E$973,3,FALSE)</f>
        <v>663.9832982862514</v>
      </c>
      <c r="F24" s="11" t="s">
        <v>58</v>
      </c>
      <c r="G24" t="str">
        <f t="shared" si="4"/>
        <v>38495.596</v>
      </c>
      <c r="H24" s="32">
        <f t="shared" si="5"/>
        <v>664</v>
      </c>
      <c r="I24" s="41" t="s">
        <v>109</v>
      </c>
      <c r="J24" s="42" t="s">
        <v>110</v>
      </c>
      <c r="K24" s="41">
        <v>664</v>
      </c>
      <c r="L24" s="41" t="s">
        <v>111</v>
      </c>
      <c r="M24" s="42" t="s">
        <v>81</v>
      </c>
      <c r="N24" s="42"/>
      <c r="O24" s="43" t="s">
        <v>82</v>
      </c>
      <c r="P24" s="43" t="s">
        <v>41</v>
      </c>
    </row>
    <row r="25" spans="1:16" ht="12.75" customHeight="1">
      <c r="A25" s="32" t="str">
        <f t="shared" si="0"/>
        <v> MHAR 6.4 </v>
      </c>
      <c r="B25" s="11" t="str">
        <f t="shared" si="1"/>
        <v>I</v>
      </c>
      <c r="C25" s="32">
        <f t="shared" si="2"/>
        <v>38528.536</v>
      </c>
      <c r="D25" t="str">
        <f t="shared" si="3"/>
        <v>vis</v>
      </c>
      <c r="E25">
        <f>VLOOKUP(C25,A!C$21:E$973,3,FALSE)</f>
        <v>672.011468536105</v>
      </c>
      <c r="F25" s="11" t="s">
        <v>58</v>
      </c>
      <c r="G25" t="str">
        <f t="shared" si="4"/>
        <v>38528.536</v>
      </c>
      <c r="H25" s="32">
        <f t="shared" si="5"/>
        <v>672</v>
      </c>
      <c r="I25" s="41" t="s">
        <v>112</v>
      </c>
      <c r="J25" s="42" t="s">
        <v>113</v>
      </c>
      <c r="K25" s="41">
        <v>672</v>
      </c>
      <c r="L25" s="41" t="s">
        <v>114</v>
      </c>
      <c r="M25" s="42" t="s">
        <v>81</v>
      </c>
      <c r="N25" s="42"/>
      <c r="O25" s="43" t="s">
        <v>82</v>
      </c>
      <c r="P25" s="43" t="s">
        <v>41</v>
      </c>
    </row>
    <row r="26" spans="1:16" ht="12.75" customHeight="1">
      <c r="A26" s="32" t="str">
        <f t="shared" si="0"/>
        <v> MHAR 6.4 </v>
      </c>
      <c r="B26" s="11" t="str">
        <f t="shared" si="1"/>
        <v>I</v>
      </c>
      <c r="C26" s="32">
        <f t="shared" si="2"/>
        <v>38852.602</v>
      </c>
      <c r="D26" t="str">
        <f t="shared" si="3"/>
        <v>vis</v>
      </c>
      <c r="E26">
        <f>VLOOKUP(C26,A!C$21:E$973,3,FALSE)</f>
        <v>750.9931631380741</v>
      </c>
      <c r="F26" s="11" t="s">
        <v>58</v>
      </c>
      <c r="G26" t="str">
        <f t="shared" si="4"/>
        <v>38852.602</v>
      </c>
      <c r="H26" s="32">
        <f t="shared" si="5"/>
        <v>751</v>
      </c>
      <c r="I26" s="41" t="s">
        <v>115</v>
      </c>
      <c r="J26" s="42" t="s">
        <v>116</v>
      </c>
      <c r="K26" s="41">
        <v>751</v>
      </c>
      <c r="L26" s="41" t="s">
        <v>117</v>
      </c>
      <c r="M26" s="42" t="s">
        <v>81</v>
      </c>
      <c r="N26" s="42"/>
      <c r="O26" s="43" t="s">
        <v>82</v>
      </c>
      <c r="P26" s="43" t="s">
        <v>41</v>
      </c>
    </row>
    <row r="27" spans="1:16" ht="12.75" customHeight="1">
      <c r="A27" s="32" t="str">
        <f t="shared" si="0"/>
        <v> MHAR 6.4 </v>
      </c>
      <c r="B27" s="11" t="str">
        <f t="shared" si="1"/>
        <v>I</v>
      </c>
      <c r="C27" s="32">
        <f t="shared" si="2"/>
        <v>39287.482</v>
      </c>
      <c r="D27" t="str">
        <f t="shared" si="3"/>
        <v>vis</v>
      </c>
      <c r="E27">
        <f>VLOOKUP(C27,A!C$21:E$973,3,FALSE)</f>
        <v>856.9825583492498</v>
      </c>
      <c r="F27" s="11" t="s">
        <v>58</v>
      </c>
      <c r="G27" t="str">
        <f t="shared" si="4"/>
        <v>39287.482</v>
      </c>
      <c r="H27" s="32">
        <f t="shared" si="5"/>
        <v>857</v>
      </c>
      <c r="I27" s="41" t="s">
        <v>118</v>
      </c>
      <c r="J27" s="42" t="s">
        <v>119</v>
      </c>
      <c r="K27" s="41">
        <v>857</v>
      </c>
      <c r="L27" s="41" t="s">
        <v>120</v>
      </c>
      <c r="M27" s="42" t="s">
        <v>81</v>
      </c>
      <c r="N27" s="42"/>
      <c r="O27" s="43" t="s">
        <v>82</v>
      </c>
      <c r="P27" s="43" t="s">
        <v>41</v>
      </c>
    </row>
    <row r="28" spans="1:16" ht="12.75" customHeight="1">
      <c r="A28" s="32" t="str">
        <f t="shared" si="0"/>
        <v> MHAR 6.4 </v>
      </c>
      <c r="B28" s="11" t="str">
        <f t="shared" si="1"/>
        <v>I</v>
      </c>
      <c r="C28" s="32">
        <f t="shared" si="2"/>
        <v>39681.469</v>
      </c>
      <c r="D28" t="str">
        <f t="shared" si="3"/>
        <v>vis</v>
      </c>
      <c r="E28">
        <f>VLOOKUP(C28,A!C$21:E$973,3,FALSE)</f>
        <v>953.0054700744713</v>
      </c>
      <c r="F28" s="11" t="s">
        <v>58</v>
      </c>
      <c r="G28" t="str">
        <f t="shared" si="4"/>
        <v>39681.469</v>
      </c>
      <c r="H28" s="32">
        <f t="shared" si="5"/>
        <v>953</v>
      </c>
      <c r="I28" s="41" t="s">
        <v>121</v>
      </c>
      <c r="J28" s="42" t="s">
        <v>122</v>
      </c>
      <c r="K28" s="41">
        <v>953</v>
      </c>
      <c r="L28" s="41" t="s">
        <v>123</v>
      </c>
      <c r="M28" s="42" t="s">
        <v>81</v>
      </c>
      <c r="N28" s="42"/>
      <c r="O28" s="43" t="s">
        <v>82</v>
      </c>
      <c r="P28" s="43" t="s">
        <v>41</v>
      </c>
    </row>
    <row r="29" spans="1:16" ht="12.75" customHeight="1">
      <c r="A29" s="32" t="str">
        <f t="shared" si="0"/>
        <v> MHAR 6.4 </v>
      </c>
      <c r="B29" s="11" t="str">
        <f t="shared" si="1"/>
        <v>I</v>
      </c>
      <c r="C29" s="32">
        <f t="shared" si="2"/>
        <v>39964.538</v>
      </c>
      <c r="D29" t="str">
        <f t="shared" si="3"/>
        <v>vis</v>
      </c>
      <c r="E29">
        <f>VLOOKUP(C29,A!C$21:E$973,3,FALSE)</f>
        <v>1021.9953342048805</v>
      </c>
      <c r="F29" s="11" t="s">
        <v>58</v>
      </c>
      <c r="G29" t="str">
        <f t="shared" si="4"/>
        <v>39964.538</v>
      </c>
      <c r="H29" s="32">
        <f t="shared" si="5"/>
        <v>1022</v>
      </c>
      <c r="I29" s="41" t="s">
        <v>124</v>
      </c>
      <c r="J29" s="42" t="s">
        <v>125</v>
      </c>
      <c r="K29" s="41">
        <v>1022</v>
      </c>
      <c r="L29" s="41" t="s">
        <v>126</v>
      </c>
      <c r="M29" s="42" t="s">
        <v>81</v>
      </c>
      <c r="N29" s="42"/>
      <c r="O29" s="43" t="s">
        <v>82</v>
      </c>
      <c r="P29" s="43" t="s">
        <v>41</v>
      </c>
    </row>
    <row r="30" spans="1:16" ht="12.75" customHeight="1">
      <c r="A30" s="32" t="str">
        <f t="shared" si="0"/>
        <v> MHAR 6.4 </v>
      </c>
      <c r="B30" s="11" t="str">
        <f t="shared" si="1"/>
        <v>I</v>
      </c>
      <c r="C30" s="32">
        <f t="shared" si="2"/>
        <v>40116.39</v>
      </c>
      <c r="D30" t="str">
        <f t="shared" si="3"/>
        <v>vis</v>
      </c>
      <c r="E30">
        <f>VLOOKUP(C30,A!C$21:E$973,3,FALSE)</f>
        <v>1059.004857847281</v>
      </c>
      <c r="F30" s="11" t="s">
        <v>58</v>
      </c>
      <c r="G30" t="str">
        <f t="shared" si="4"/>
        <v>40116.390</v>
      </c>
      <c r="H30" s="32">
        <f t="shared" si="5"/>
        <v>1059</v>
      </c>
      <c r="I30" s="41" t="s">
        <v>127</v>
      </c>
      <c r="J30" s="42" t="s">
        <v>128</v>
      </c>
      <c r="K30" s="41">
        <v>1059</v>
      </c>
      <c r="L30" s="41" t="s">
        <v>129</v>
      </c>
      <c r="M30" s="42" t="s">
        <v>81</v>
      </c>
      <c r="N30" s="42"/>
      <c r="O30" s="43" t="s">
        <v>82</v>
      </c>
      <c r="P30" s="43" t="s">
        <v>41</v>
      </c>
    </row>
    <row r="31" spans="1:16" ht="12.75" customHeight="1">
      <c r="A31" s="32" t="str">
        <f t="shared" si="0"/>
        <v> MHAR 6.4 </v>
      </c>
      <c r="B31" s="11" t="str">
        <f t="shared" si="1"/>
        <v>I</v>
      </c>
      <c r="C31" s="32">
        <f t="shared" si="2"/>
        <v>40153.34</v>
      </c>
      <c r="D31" t="str">
        <f t="shared" si="3"/>
        <v>vis</v>
      </c>
      <c r="E31">
        <f>VLOOKUP(C31,A!C$21:E$973,3,FALSE)</f>
        <v>1068.010349369201</v>
      </c>
      <c r="F31" s="11" t="s">
        <v>58</v>
      </c>
      <c r="G31" t="str">
        <f t="shared" si="4"/>
        <v>40153.340</v>
      </c>
      <c r="H31" s="32">
        <f t="shared" si="5"/>
        <v>1068</v>
      </c>
      <c r="I31" s="41" t="s">
        <v>130</v>
      </c>
      <c r="J31" s="42" t="s">
        <v>131</v>
      </c>
      <c r="K31" s="41">
        <v>1068</v>
      </c>
      <c r="L31" s="41" t="s">
        <v>132</v>
      </c>
      <c r="M31" s="42" t="s">
        <v>81</v>
      </c>
      <c r="N31" s="42"/>
      <c r="O31" s="43" t="s">
        <v>82</v>
      </c>
      <c r="P31" s="43" t="s">
        <v>41</v>
      </c>
    </row>
    <row r="32" spans="1:16" ht="12.75" customHeight="1">
      <c r="A32" s="32" t="str">
        <f t="shared" si="0"/>
        <v> MHAR 6.4 </v>
      </c>
      <c r="B32" s="11" t="str">
        <f t="shared" si="1"/>
        <v>I</v>
      </c>
      <c r="C32" s="32">
        <f t="shared" si="2"/>
        <v>40473.389</v>
      </c>
      <c r="D32" t="str">
        <f t="shared" si="3"/>
        <v>vis</v>
      </c>
      <c r="E32">
        <f>VLOOKUP(C32,A!C$21:E$973,3,FALSE)</f>
        <v>1146.013016651996</v>
      </c>
      <c r="F32" s="11" t="s">
        <v>58</v>
      </c>
      <c r="G32" t="str">
        <f t="shared" si="4"/>
        <v>40473.389</v>
      </c>
      <c r="H32" s="32">
        <f t="shared" si="5"/>
        <v>1146</v>
      </c>
      <c r="I32" s="41" t="s">
        <v>133</v>
      </c>
      <c r="J32" s="42" t="s">
        <v>134</v>
      </c>
      <c r="K32" s="41">
        <v>1146</v>
      </c>
      <c r="L32" s="41" t="s">
        <v>135</v>
      </c>
      <c r="M32" s="42" t="s">
        <v>81</v>
      </c>
      <c r="N32" s="42"/>
      <c r="O32" s="43" t="s">
        <v>82</v>
      </c>
      <c r="P32" s="43" t="s">
        <v>41</v>
      </c>
    </row>
    <row r="33" spans="1:16" ht="12.75" customHeight="1">
      <c r="A33" s="32" t="str">
        <f t="shared" si="0"/>
        <v> MHAR 6.4 </v>
      </c>
      <c r="B33" s="11" t="str">
        <f t="shared" si="1"/>
        <v>I</v>
      </c>
      <c r="C33" s="32">
        <f t="shared" si="2"/>
        <v>41548.423</v>
      </c>
      <c r="D33" t="str">
        <f t="shared" si="3"/>
        <v>vis</v>
      </c>
      <c r="E33">
        <f>VLOOKUP(C33,A!C$21:E$973,3,FALSE)</f>
        <v>1408.021394805624</v>
      </c>
      <c r="F33" s="11" t="s">
        <v>58</v>
      </c>
      <c r="G33" t="str">
        <f t="shared" si="4"/>
        <v>41548.423</v>
      </c>
      <c r="H33" s="32">
        <f t="shared" si="5"/>
        <v>1408</v>
      </c>
      <c r="I33" s="41" t="s">
        <v>136</v>
      </c>
      <c r="J33" s="42" t="s">
        <v>137</v>
      </c>
      <c r="K33" s="41">
        <v>1408</v>
      </c>
      <c r="L33" s="41" t="s">
        <v>138</v>
      </c>
      <c r="M33" s="42" t="s">
        <v>81</v>
      </c>
      <c r="N33" s="42"/>
      <c r="O33" s="43" t="s">
        <v>82</v>
      </c>
      <c r="P33" s="43" t="s">
        <v>41</v>
      </c>
    </row>
    <row r="34" spans="1:16" ht="12.75" customHeight="1">
      <c r="A34" s="32" t="str">
        <f t="shared" si="0"/>
        <v>BAVM 225 </v>
      </c>
      <c r="B34" s="11" t="str">
        <f t="shared" si="1"/>
        <v>I</v>
      </c>
      <c r="C34" s="32">
        <f t="shared" si="2"/>
        <v>55802.3963</v>
      </c>
      <c r="D34" t="str">
        <f t="shared" si="3"/>
        <v>vis</v>
      </c>
      <c r="E34">
        <f>VLOOKUP(C34,A!C$21:E$973,3,FALSE)</f>
        <v>4882.014242081261</v>
      </c>
      <c r="F34" s="11" t="s">
        <v>58</v>
      </c>
      <c r="G34" t="str">
        <f t="shared" si="4"/>
        <v>55802.3963</v>
      </c>
      <c r="H34" s="32">
        <f t="shared" si="5"/>
        <v>4882</v>
      </c>
      <c r="I34" s="41" t="s">
        <v>139</v>
      </c>
      <c r="J34" s="42" t="s">
        <v>140</v>
      </c>
      <c r="K34" s="41" t="s">
        <v>141</v>
      </c>
      <c r="L34" s="41" t="s">
        <v>142</v>
      </c>
      <c r="M34" s="42" t="s">
        <v>69</v>
      </c>
      <c r="N34" s="42" t="s">
        <v>70</v>
      </c>
      <c r="O34" s="43" t="s">
        <v>71</v>
      </c>
      <c r="P34" s="44" t="s">
        <v>47</v>
      </c>
    </row>
    <row r="35" spans="1:16" ht="12.75" customHeight="1">
      <c r="A35" s="32" t="str">
        <f t="shared" si="0"/>
        <v>BAVM 225 </v>
      </c>
      <c r="B35" s="11" t="str">
        <f t="shared" si="1"/>
        <v>I</v>
      </c>
      <c r="C35" s="32">
        <f t="shared" si="2"/>
        <v>55802.3972</v>
      </c>
      <c r="D35" t="str">
        <f t="shared" si="3"/>
        <v>vis</v>
      </c>
      <c r="E35">
        <f>VLOOKUP(C35,A!C$21:E$973,3,FALSE)</f>
        <v>4882.014461430175</v>
      </c>
      <c r="F35" s="11" t="s">
        <v>58</v>
      </c>
      <c r="G35" t="str">
        <f t="shared" si="4"/>
        <v>55802.3972</v>
      </c>
      <c r="H35" s="32">
        <f t="shared" si="5"/>
        <v>4882</v>
      </c>
      <c r="I35" s="41" t="s">
        <v>143</v>
      </c>
      <c r="J35" s="42" t="s">
        <v>144</v>
      </c>
      <c r="K35" s="41" t="s">
        <v>141</v>
      </c>
      <c r="L35" s="41" t="s">
        <v>145</v>
      </c>
      <c r="M35" s="42" t="s">
        <v>69</v>
      </c>
      <c r="N35" s="42" t="s">
        <v>70</v>
      </c>
      <c r="O35" s="43" t="s">
        <v>146</v>
      </c>
      <c r="P35" s="44" t="s">
        <v>47</v>
      </c>
    </row>
    <row r="36" spans="1:16" ht="12.75" customHeight="1">
      <c r="A36" s="32" t="str">
        <f t="shared" si="0"/>
        <v>IBVS 6033 </v>
      </c>
      <c r="B36" s="11" t="str">
        <f t="shared" si="1"/>
        <v>I</v>
      </c>
      <c r="C36" s="32">
        <f t="shared" si="2"/>
        <v>55839.3213</v>
      </c>
      <c r="D36" t="str">
        <f t="shared" si="3"/>
        <v>vis</v>
      </c>
      <c r="E36">
        <f>VLOOKUP(C36,A!C$21:E$973,3,FALSE)</f>
        <v>4891.013640577796</v>
      </c>
      <c r="F36" s="11" t="s">
        <v>58</v>
      </c>
      <c r="G36" t="str">
        <f t="shared" si="4"/>
        <v>55839.3213</v>
      </c>
      <c r="H36" s="32">
        <f t="shared" si="5"/>
        <v>4891</v>
      </c>
      <c r="I36" s="41" t="s">
        <v>147</v>
      </c>
      <c r="J36" s="42" t="s">
        <v>148</v>
      </c>
      <c r="K36" s="41" t="s">
        <v>149</v>
      </c>
      <c r="L36" s="41" t="s">
        <v>150</v>
      </c>
      <c r="M36" s="42" t="s">
        <v>69</v>
      </c>
      <c r="N36" s="42" t="s">
        <v>58</v>
      </c>
      <c r="O36" s="43" t="s">
        <v>151</v>
      </c>
      <c r="P36" s="44" t="s">
        <v>48</v>
      </c>
    </row>
  </sheetData>
  <sheetProtection selectLockedCells="1" selectUnlockedCells="1"/>
  <hyperlinks>
    <hyperlink ref="P12" r:id="rId1" display="BAVM 178 "/>
    <hyperlink ref="P34" r:id="rId2" display="BAVM 225 "/>
    <hyperlink ref="P35" r:id="rId3" display="BAVM 225 "/>
    <hyperlink ref="P36" r:id="rId4" display="IBVS 6033 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