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34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<sst xmlns="http://schemas.openxmlformats.org/spreadsheetml/2006/main" count="177" uniqueCount="96">
  <si>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</si>
  <si>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</si>
  <si>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</si>
  <si>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</si>
  <si>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</si>
  <si>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</si>
  <si>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</si>
  <si>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</si>
  <si>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</si>
  <si>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</si>
  <si>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</si>
  <si>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</si>
  <si>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</si>
  <si>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</si>
  <si>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</si>
  <si>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</si>
  <si>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</si>
  <si>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</si>
  <si>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</si>
  <si>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</si>
  <si>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</si>
  <si>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</si>
  <si>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</si>
  <si>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</si>
  <si>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</si>
  <si>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</si>
  <si>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</si>
  <si>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</si>
  <si>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</si>
  <si>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</si>
  <si>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</si>
  <si>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</si>
  <si>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</si>
  <si>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</si>
  <si>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</si>
  <si>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</si>
  <si>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</si>
  <si>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</si>
  <si>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</si>
  <si>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</si>
  <si>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</si>
  <si>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</si>
  <si>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</si>
  <si>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</si>
  <si>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</si>
  <si>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</si>
  <si>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</si>
  <si>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</si>
  <si>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SY Vul</t>
  </si>
  <si>
    <t>EA</t>
  </si>
  <si>
    <t>GCVS 4</t>
  </si>
  <si>
    <t>SY Vul / GSC 16293.463</t>
  </si>
  <si>
    <t>2416293.463 </t>
  </si>
  <si>
    <t> 27.06.1903 23:06 </t>
  </si>
  <si>
    <t> 0.000 </t>
  </si>
  <si>
    <t>P </t>
  </si>
  <si>
    <t> M.Wolf </t>
  </si>
  <si>
    <t> MVS 3.23 </t>
  </si>
  <si>
    <t>2426209.390 </t>
  </si>
  <si>
    <t> 20.08.1930 21:21 </t>
  </si>
  <si>
    <t> -0.250 </t>
  </si>
  <si>
    <t> L.Meinunger </t>
  </si>
  <si>
    <t>2426217.472 </t>
  </si>
  <si>
    <t> 28.08.1930 23:19 </t>
  </si>
  <si>
    <t> 0.030 </t>
  </si>
  <si>
    <t>2427637.511 </t>
  </si>
  <si>
    <t> 19.07.1934 00:15 </t>
  </si>
  <si>
    <t> 0.129 </t>
  </si>
  <si>
    <t>2427933.545 </t>
  </si>
  <si>
    <t> 11.05.1935 01:04 </t>
  </si>
  <si>
    <t> -0.308 </t>
  </si>
  <si>
    <t>2433512.411 </t>
  </si>
  <si>
    <t> 18.08.1950 21:51 </t>
  </si>
  <si>
    <t> 0.221 </t>
  </si>
  <si>
    <t>2434955.416 </t>
  </si>
  <si>
    <t> 31.07.1954 21:59 </t>
  </si>
  <si>
    <t> -0.120 </t>
  </si>
  <si>
    <t>2434986.501 </t>
  </si>
  <si>
    <t> 01.09.1954 00:01 </t>
  </si>
  <si>
    <t> -0.243 </t>
  </si>
  <si>
    <t>2435314.460 </t>
  </si>
  <si>
    <t> 25.07.1955 23:02 </t>
  </si>
  <si>
    <t> 0.038 </t>
  </si>
  <si>
    <t>2435369.400 </t>
  </si>
  <si>
    <t> 18.09.1955 21:36 </t>
  </si>
  <si>
    <t> 0.365 </t>
  </si>
  <si>
    <t>2436453.352 </t>
  </si>
  <si>
    <t> 06.09.1958 20:26 </t>
  </si>
  <si>
    <t> -0.143 </t>
  </si>
  <si>
    <t>2437935.428 </t>
  </si>
  <si>
    <t> 27.09.1962 22:16 </t>
  </si>
  <si>
    <t> -0.422 </t>
  </si>
  <si>
    <t>2437959.348 </t>
  </si>
  <si>
    <t> 21.10.1962 20:21 </t>
  </si>
  <si>
    <t> 0.092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</si>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</sst>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 Vul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2149758"/>
        <c:axId val="66694639"/>
      </c:scatterChart>
      <c:val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</c:val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0</xdr:rowOff>
    </xdr:from>
    <xdr:to>
      <xdr:col>17</xdr:col>
      <xdr:colOff>19050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51</v>
      </c>
      <c r="F1" s="50" t="s">
        <v>48</v>
      </c>
      <c r="G1" s="32">
        <v>20.36219</v>
      </c>
      <c r="H1" s="33">
        <v>23.5151</v>
      </c>
      <c r="I1" s="34">
        <v>16293.463</v>
      </c>
      <c r="J1" s="34">
        <v>7.80187</v>
      </c>
      <c r="K1" s="31" t="s">
        <v>49</v>
      </c>
      <c r="L1" s="33"/>
      <c r="M1" s="34">
        <v>16293.463</v>
      </c>
      <c r="N1" s="34">
        <v>7.80187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16293.463</v>
      </c>
      <c r="D4" s="28">
        <v>7.80187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16293.463</v>
      </c>
      <c r="D7" s="29" t="s">
        <v>50</v>
      </c>
    </row>
    <row r="8" spans="1:4" ht="12.75">
      <c r="A8" t="s">
        <v>3</v>
      </c>
      <c r="C8" s="8">
        <v>7.80187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-0.03833409083874966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-4.407372720356142E-06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37959.205416635115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7.80186559262728</v>
      </c>
      <c r="E16" s="14" t="s">
        <v>30</v>
      </c>
      <c r="F16" s="36">
        <f ca="1">NOW()+15018.5+$C$5/24</f>
        <v>59907.86473645833</v>
      </c>
    </row>
    <row r="17" spans="1:6" ht="13.5" thickBot="1">
      <c r="A17" s="14" t="s">
        <v>27</v>
      </c>
      <c r="B17" s="10"/>
      <c r="C17" s="10">
        <f>COUNT(C21:C2191)</f>
        <v>13</v>
      </c>
      <c r="E17" s="14" t="s">
        <v>35</v>
      </c>
      <c r="F17" s="15">
        <f>ROUND(2*(F16-$C$7)/$C$8,0)/2+F15</f>
        <v>5591</v>
      </c>
    </row>
    <row r="18" spans="1:6" ht="14.25" thickBot="1" thickTop="1">
      <c r="A18" s="16" t="s">
        <v>5</v>
      </c>
      <c r="B18" s="10"/>
      <c r="C18" s="19">
        <f>+C15</f>
        <v>37959.205416635115</v>
      </c>
      <c r="D18" s="20">
        <f>+C16</f>
        <v>7.80186559262728</v>
      </c>
      <c r="E18" s="14" t="s">
        <v>36</v>
      </c>
      <c r="F18" s="23">
        <f>ROUND(2*(F16-$C$15)/$C$16,0)/2+F15</f>
        <v>2814.5</v>
      </c>
    </row>
    <row r="19" spans="5:6" ht="13.5" thickTop="1">
      <c r="E19" s="14" t="s">
        <v>31</v>
      </c>
      <c r="F19" s="18">
        <f>+$C$15+$C$16*F18-15018.5-$C$5/24</f>
        <v>44899.45196041793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50</v>
      </c>
      <c r="C21" s="8">
        <v>16293.463</v>
      </c>
      <c r="D21" s="8" t="s">
        <v>13</v>
      </c>
      <c r="E21">
        <f aca="true" t="shared" si="0" ref="E21:E33">+(C21-C$7)/C$8</f>
        <v>0</v>
      </c>
      <c r="F21">
        <f aca="true" t="shared" si="1" ref="F21:F33">ROUND(2*E21,0)/2</f>
        <v>0</v>
      </c>
      <c r="G21">
        <f aca="true" t="shared" si="2" ref="G21:G33">+C21-(C$7+F21*C$8)</f>
        <v>0</v>
      </c>
      <c r="H21">
        <f aca="true" t="shared" si="3" ref="H21:H33">+G21</f>
        <v>0</v>
      </c>
      <c r="O21">
        <f aca="true" t="shared" si="4" ref="O21:O33">+C$11+C$12*$F21</f>
        <v>-0.03833409083874966</v>
      </c>
      <c r="Q21" s="2">
        <f aca="true" t="shared" si="5" ref="Q21:Q33">+C21-15018.5</f>
        <v>1274.9629999999997</v>
      </c>
    </row>
    <row r="22" spans="1:17" ht="12.75">
      <c r="A22" s="51" t="s">
        <v>57</v>
      </c>
      <c r="B22" s="53" t="s">
        <v>95</v>
      </c>
      <c r="C22" s="52">
        <v>26209.39</v>
      </c>
      <c r="D22" s="8"/>
      <c r="E22">
        <f t="shared" si="0"/>
        <v>1270.967985880308</v>
      </c>
      <c r="F22">
        <f t="shared" si="1"/>
        <v>1271</v>
      </c>
      <c r="G22">
        <f t="shared" si="2"/>
        <v>-0.2497700000021723</v>
      </c>
      <c r="H22">
        <f t="shared" si="3"/>
        <v>-0.2497700000021723</v>
      </c>
      <c r="O22">
        <f t="shared" si="4"/>
        <v>-0.043935861566322315</v>
      </c>
      <c r="Q22" s="2">
        <f t="shared" si="5"/>
        <v>11190.89</v>
      </c>
    </row>
    <row r="23" spans="1:17" ht="12.75">
      <c r="A23" s="51" t="s">
        <v>57</v>
      </c>
      <c r="B23" s="53" t="s">
        <v>95</v>
      </c>
      <c r="C23" s="52">
        <v>26217.472</v>
      </c>
      <c r="D23" s="8"/>
      <c r="E23">
        <f t="shared" si="0"/>
        <v>1272.0038913747603</v>
      </c>
      <c r="F23">
        <f t="shared" si="1"/>
        <v>1272</v>
      </c>
      <c r="G23">
        <f t="shared" si="2"/>
        <v>0.030360000004293397</v>
      </c>
      <c r="H23">
        <f t="shared" si="3"/>
        <v>0.030360000004293397</v>
      </c>
      <c r="O23">
        <f t="shared" si="4"/>
        <v>-0.043940268939042675</v>
      </c>
      <c r="Q23" s="2">
        <f t="shared" si="5"/>
        <v>11198.972000000002</v>
      </c>
    </row>
    <row r="24" spans="1:17" ht="12.75">
      <c r="A24" s="51" t="s">
        <v>57</v>
      </c>
      <c r="B24" s="53" t="s">
        <v>95</v>
      </c>
      <c r="C24" s="52">
        <v>27637.511</v>
      </c>
      <c r="D24" s="8"/>
      <c r="E24">
        <f t="shared" si="0"/>
        <v>1454.0165370609866</v>
      </c>
      <c r="F24">
        <f t="shared" si="1"/>
        <v>1454</v>
      </c>
      <c r="G24">
        <f t="shared" si="2"/>
        <v>0.12902000000030966</v>
      </c>
      <c r="H24">
        <f t="shared" si="3"/>
        <v>0.12902000000030966</v>
      </c>
      <c r="O24">
        <f t="shared" si="4"/>
        <v>-0.04474241077414749</v>
      </c>
      <c r="Q24" s="2">
        <f t="shared" si="5"/>
        <v>12619.010999999999</v>
      </c>
    </row>
    <row r="25" spans="1:17" ht="12.75">
      <c r="A25" s="51" t="s">
        <v>57</v>
      </c>
      <c r="B25" s="53" t="s">
        <v>95</v>
      </c>
      <c r="C25" s="52">
        <v>27933.545</v>
      </c>
      <c r="D25" s="8"/>
      <c r="E25">
        <f t="shared" si="0"/>
        <v>1491.9605171580658</v>
      </c>
      <c r="F25">
        <f t="shared" si="1"/>
        <v>1492</v>
      </c>
      <c r="G25">
        <f t="shared" si="2"/>
        <v>-0.3080400000035297</v>
      </c>
      <c r="H25">
        <f t="shared" si="3"/>
        <v>-0.3080400000035297</v>
      </c>
      <c r="O25">
        <f t="shared" si="4"/>
        <v>-0.04490989093752103</v>
      </c>
      <c r="Q25" s="2">
        <f t="shared" si="5"/>
        <v>12915.044999999998</v>
      </c>
    </row>
    <row r="26" spans="1:17" ht="12.75">
      <c r="A26" s="51" t="s">
        <v>57</v>
      </c>
      <c r="B26" s="53" t="s">
        <v>95</v>
      </c>
      <c r="C26" s="52">
        <v>33512.411</v>
      </c>
      <c r="D26" s="8"/>
      <c r="E26">
        <f t="shared" si="0"/>
        <v>2207.0283150065306</v>
      </c>
      <c r="F26">
        <f t="shared" si="1"/>
        <v>2207</v>
      </c>
      <c r="G26">
        <f t="shared" si="2"/>
        <v>0.2209099999963655</v>
      </c>
      <c r="H26">
        <f t="shared" si="3"/>
        <v>0.2209099999963655</v>
      </c>
      <c r="O26">
        <f t="shared" si="4"/>
        <v>-0.04806116243257567</v>
      </c>
      <c r="Q26" s="2">
        <f t="shared" si="5"/>
        <v>18493.911</v>
      </c>
    </row>
    <row r="27" spans="1:17" ht="12.75">
      <c r="A27" s="51" t="s">
        <v>57</v>
      </c>
      <c r="B27" s="53" t="s">
        <v>95</v>
      </c>
      <c r="C27" s="52">
        <v>34955.416</v>
      </c>
      <c r="D27" s="8"/>
      <c r="E27">
        <f t="shared" si="0"/>
        <v>2391.984613945118</v>
      </c>
      <c r="F27">
        <f t="shared" si="1"/>
        <v>2392</v>
      </c>
      <c r="G27">
        <f t="shared" si="2"/>
        <v>-0.12004000000160886</v>
      </c>
      <c r="H27">
        <f t="shared" si="3"/>
        <v>-0.12004000000160886</v>
      </c>
      <c r="O27">
        <f t="shared" si="4"/>
        <v>-0.04887652638584156</v>
      </c>
      <c r="Q27" s="2">
        <f t="shared" si="5"/>
        <v>19936.915999999997</v>
      </c>
    </row>
    <row r="28" spans="1:17" ht="12.75">
      <c r="A28" s="51" t="s">
        <v>57</v>
      </c>
      <c r="B28" s="53" t="s">
        <v>95</v>
      </c>
      <c r="C28" s="52">
        <v>34986.501</v>
      </c>
      <c r="D28" s="8"/>
      <c r="E28">
        <f t="shared" si="0"/>
        <v>2395.968915144702</v>
      </c>
      <c r="F28">
        <f t="shared" si="1"/>
        <v>2396</v>
      </c>
      <c r="G28">
        <f t="shared" si="2"/>
        <v>-0.24252000000706175</v>
      </c>
      <c r="H28">
        <f t="shared" si="3"/>
        <v>-0.24252000000706175</v>
      </c>
      <c r="O28">
        <f t="shared" si="4"/>
        <v>-0.04889415587672298</v>
      </c>
      <c r="Q28" s="2">
        <f t="shared" si="5"/>
        <v>19968.000999999997</v>
      </c>
    </row>
    <row r="29" spans="1:17" ht="12.75">
      <c r="A29" s="51" t="s">
        <v>57</v>
      </c>
      <c r="B29" s="53" t="s">
        <v>95</v>
      </c>
      <c r="C29" s="52">
        <v>35314.46</v>
      </c>
      <c r="D29" s="8"/>
      <c r="E29">
        <f t="shared" si="0"/>
        <v>2438.004862936706</v>
      </c>
      <c r="F29">
        <f t="shared" si="1"/>
        <v>2438</v>
      </c>
      <c r="G29">
        <f t="shared" si="2"/>
        <v>0.03794000000198139</v>
      </c>
      <c r="H29">
        <f t="shared" si="3"/>
        <v>0.03794000000198139</v>
      </c>
      <c r="O29">
        <f t="shared" si="4"/>
        <v>-0.04907926553097794</v>
      </c>
      <c r="Q29" s="2">
        <f t="shared" si="5"/>
        <v>20295.96</v>
      </c>
    </row>
    <row r="30" spans="1:17" ht="12.75">
      <c r="A30" s="51" t="s">
        <v>57</v>
      </c>
      <c r="B30" s="53" t="s">
        <v>95</v>
      </c>
      <c r="C30" s="52">
        <v>35369.4</v>
      </c>
      <c r="D30" s="8"/>
      <c r="E30">
        <f t="shared" si="0"/>
        <v>2445.0467644295536</v>
      </c>
      <c r="F30">
        <f t="shared" si="1"/>
        <v>2445</v>
      </c>
      <c r="G30">
        <f t="shared" si="2"/>
        <v>0.36485000000539003</v>
      </c>
      <c r="H30">
        <f t="shared" si="3"/>
        <v>0.36485000000539003</v>
      </c>
      <c r="O30">
        <f t="shared" si="4"/>
        <v>-0.04911011714002043</v>
      </c>
      <c r="Q30" s="2">
        <f t="shared" si="5"/>
        <v>20350.9</v>
      </c>
    </row>
    <row r="31" spans="1:17" ht="12.75">
      <c r="A31" s="51" t="s">
        <v>57</v>
      </c>
      <c r="B31" s="53" t="s">
        <v>95</v>
      </c>
      <c r="C31" s="52">
        <v>36453.352</v>
      </c>
      <c r="D31" s="8"/>
      <c r="E31">
        <f t="shared" si="0"/>
        <v>2583.9816608069605</v>
      </c>
      <c r="F31">
        <f t="shared" si="1"/>
        <v>2584</v>
      </c>
      <c r="G31">
        <f t="shared" si="2"/>
        <v>-0.1430800000016461</v>
      </c>
      <c r="H31">
        <f t="shared" si="3"/>
        <v>-0.1430800000016461</v>
      </c>
      <c r="O31">
        <f t="shared" si="4"/>
        <v>-0.049722741948149934</v>
      </c>
      <c r="Q31" s="2">
        <f t="shared" si="5"/>
        <v>21434.852</v>
      </c>
    </row>
    <row r="32" spans="1:17" ht="12.75">
      <c r="A32" s="51" t="s">
        <v>57</v>
      </c>
      <c r="B32" s="53" t="s">
        <v>95</v>
      </c>
      <c r="C32" s="52">
        <v>37935.428</v>
      </c>
      <c r="D32" s="8"/>
      <c r="E32">
        <f t="shared" si="0"/>
        <v>2773.9458616972597</v>
      </c>
      <c r="F32">
        <f t="shared" si="1"/>
        <v>2774</v>
      </c>
      <c r="G32">
        <f t="shared" si="2"/>
        <v>-0.42238000000361353</v>
      </c>
      <c r="H32">
        <f t="shared" si="3"/>
        <v>-0.42238000000361353</v>
      </c>
      <c r="O32">
        <f t="shared" si="4"/>
        <v>-0.0505601427650176</v>
      </c>
      <c r="Q32" s="2">
        <f t="shared" si="5"/>
        <v>22916.928</v>
      </c>
    </row>
    <row r="33" spans="1:17" ht="12.75">
      <c r="A33" s="51" t="s">
        <v>57</v>
      </c>
      <c r="B33" s="53" t="s">
        <v>95</v>
      </c>
      <c r="C33" s="52">
        <v>37959.348</v>
      </c>
      <c r="D33" s="8"/>
      <c r="E33">
        <f t="shared" si="0"/>
        <v>2777.0117933264714</v>
      </c>
      <c r="F33">
        <f t="shared" si="1"/>
        <v>2777</v>
      </c>
      <c r="G33">
        <f t="shared" si="2"/>
        <v>0.0920099999930244</v>
      </c>
      <c r="H33">
        <f t="shared" si="3"/>
        <v>0.0920099999930244</v>
      </c>
      <c r="O33">
        <f t="shared" si="4"/>
        <v>-0.050573364883178665</v>
      </c>
      <c r="Q33" s="2">
        <f t="shared" si="5"/>
        <v>22940.847999999998</v>
      </c>
    </row>
    <row r="34" spans="2:4" ht="12.75">
      <c r="B34" s="3"/>
      <c r="C34" s="8"/>
      <c r="D34" s="8"/>
    </row>
    <row r="35" spans="2:4" ht="12.75">
      <c r="B35" s="3"/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4"/>
  <sheetViews>
    <sheetView zoomScalePageLayoutView="0" workbookViewId="0" topLeftCell="A1">
      <selection activeCell="A12" sqref="A12:C23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23">P11</f>
        <v> MVS 3.23 </v>
      </c>
      <c r="B11" s="3" t="str">
        <f aca="true" t="shared" si="1" ref="B11:B23">IF(H11=INT(H11),"I","II")</f>
        <v>I</v>
      </c>
      <c r="C11" s="8">
        <f aca="true" t="shared" si="2" ref="C11:C23">1*G11</f>
        <v>16293.463</v>
      </c>
      <c r="D11" s="10" t="str">
        <f aca="true" t="shared" si="3" ref="D11:D23">VLOOKUP(F11,I$1:J$5,2,FALSE)</f>
        <v>vis</v>
      </c>
      <c r="E11" s="46">
        <f>VLOOKUP(C11,A!C$21:E$973,3,FALSE)</f>
        <v>0</v>
      </c>
      <c r="F11" s="3" t="s">
        <v>47</v>
      </c>
      <c r="G11" s="10" t="str">
        <f aca="true" t="shared" si="4" ref="G11:G23">MID(I11,3,LEN(I11)-3)</f>
        <v>16293.463</v>
      </c>
      <c r="H11" s="8">
        <f aca="true" t="shared" si="5" ref="H11:H23">1*K11</f>
        <v>0</v>
      </c>
      <c r="I11" s="47" t="s">
        <v>52</v>
      </c>
      <c r="J11" s="48" t="s">
        <v>53</v>
      </c>
      <c r="K11" s="47">
        <v>0</v>
      </c>
      <c r="L11" s="47" t="s">
        <v>54</v>
      </c>
      <c r="M11" s="48" t="s">
        <v>55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MVS 3.23 </v>
      </c>
      <c r="B12" s="3" t="str">
        <f t="shared" si="1"/>
        <v>I</v>
      </c>
      <c r="C12" s="8">
        <f t="shared" si="2"/>
        <v>26209.39</v>
      </c>
      <c r="D12" s="10" t="str">
        <f t="shared" si="3"/>
        <v>vis</v>
      </c>
      <c r="E12" s="46">
        <f>VLOOKUP(C12,A!C$21:E$973,3,FALSE)</f>
        <v>1270.967985880308</v>
      </c>
      <c r="F12" s="3" t="s">
        <v>47</v>
      </c>
      <c r="G12" s="10" t="str">
        <f t="shared" si="4"/>
        <v>26209.390</v>
      </c>
      <c r="H12" s="8">
        <f t="shared" si="5"/>
        <v>1271</v>
      </c>
      <c r="I12" s="47" t="s">
        <v>58</v>
      </c>
      <c r="J12" s="48" t="s">
        <v>59</v>
      </c>
      <c r="K12" s="47">
        <v>1271</v>
      </c>
      <c r="L12" s="47" t="s">
        <v>60</v>
      </c>
      <c r="M12" s="48" t="s">
        <v>55</v>
      </c>
      <c r="N12" s="48"/>
      <c r="O12" s="49" t="s">
        <v>61</v>
      </c>
      <c r="P12" s="49" t="s">
        <v>57</v>
      </c>
    </row>
    <row r="13" spans="1:16" ht="12.75" customHeight="1" thickBot="1">
      <c r="A13" s="8" t="str">
        <f t="shared" si="0"/>
        <v> MVS 3.23 </v>
      </c>
      <c r="B13" s="3" t="str">
        <f t="shared" si="1"/>
        <v>I</v>
      </c>
      <c r="C13" s="8">
        <f t="shared" si="2"/>
        <v>26217.472</v>
      </c>
      <c r="D13" s="10" t="str">
        <f t="shared" si="3"/>
        <v>vis</v>
      </c>
      <c r="E13" s="46">
        <f>VLOOKUP(C13,A!C$21:E$973,3,FALSE)</f>
        <v>1272.0038913747603</v>
      </c>
      <c r="F13" s="3" t="s">
        <v>47</v>
      </c>
      <c r="G13" s="10" t="str">
        <f t="shared" si="4"/>
        <v>26217.472</v>
      </c>
      <c r="H13" s="8">
        <f t="shared" si="5"/>
        <v>1272</v>
      </c>
      <c r="I13" s="47" t="s">
        <v>62</v>
      </c>
      <c r="J13" s="48" t="s">
        <v>63</v>
      </c>
      <c r="K13" s="47">
        <v>1272</v>
      </c>
      <c r="L13" s="47" t="s">
        <v>64</v>
      </c>
      <c r="M13" s="48" t="s">
        <v>55</v>
      </c>
      <c r="N13" s="48"/>
      <c r="O13" s="49" t="s">
        <v>61</v>
      </c>
      <c r="P13" s="49" t="s">
        <v>57</v>
      </c>
    </row>
    <row r="14" spans="1:16" ht="12.75" customHeight="1" thickBot="1">
      <c r="A14" s="8" t="str">
        <f t="shared" si="0"/>
        <v> MVS 3.23 </v>
      </c>
      <c r="B14" s="3" t="str">
        <f t="shared" si="1"/>
        <v>I</v>
      </c>
      <c r="C14" s="8">
        <f t="shared" si="2"/>
        <v>27637.511</v>
      </c>
      <c r="D14" s="10" t="str">
        <f t="shared" si="3"/>
        <v>vis</v>
      </c>
      <c r="E14" s="46">
        <f>VLOOKUP(C14,A!C$21:E$973,3,FALSE)</f>
        <v>1454.0165370609866</v>
      </c>
      <c r="F14" s="3" t="s">
        <v>47</v>
      </c>
      <c r="G14" s="10" t="str">
        <f t="shared" si="4"/>
        <v>27637.511</v>
      </c>
      <c r="H14" s="8">
        <f t="shared" si="5"/>
        <v>1454</v>
      </c>
      <c r="I14" s="47" t="s">
        <v>65</v>
      </c>
      <c r="J14" s="48" t="s">
        <v>66</v>
      </c>
      <c r="K14" s="47">
        <v>1454</v>
      </c>
      <c r="L14" s="47" t="s">
        <v>67</v>
      </c>
      <c r="M14" s="48" t="s">
        <v>55</v>
      </c>
      <c r="N14" s="48"/>
      <c r="O14" s="49" t="s">
        <v>61</v>
      </c>
      <c r="P14" s="49" t="s">
        <v>57</v>
      </c>
    </row>
    <row r="15" spans="1:16" ht="12.75" customHeight="1" thickBot="1">
      <c r="A15" s="8" t="str">
        <f t="shared" si="0"/>
        <v> MVS 3.23 </v>
      </c>
      <c r="B15" s="3" t="str">
        <f t="shared" si="1"/>
        <v>I</v>
      </c>
      <c r="C15" s="8">
        <f t="shared" si="2"/>
        <v>27933.545</v>
      </c>
      <c r="D15" s="10" t="str">
        <f t="shared" si="3"/>
        <v>vis</v>
      </c>
      <c r="E15" s="46">
        <f>VLOOKUP(C15,A!C$21:E$973,3,FALSE)</f>
        <v>1491.9605171580658</v>
      </c>
      <c r="F15" s="3" t="s">
        <v>47</v>
      </c>
      <c r="G15" s="10" t="str">
        <f t="shared" si="4"/>
        <v>27933.545</v>
      </c>
      <c r="H15" s="8">
        <f t="shared" si="5"/>
        <v>1492</v>
      </c>
      <c r="I15" s="47" t="s">
        <v>68</v>
      </c>
      <c r="J15" s="48" t="s">
        <v>69</v>
      </c>
      <c r="K15" s="47">
        <v>1492</v>
      </c>
      <c r="L15" s="47" t="s">
        <v>70</v>
      </c>
      <c r="M15" s="48" t="s">
        <v>55</v>
      </c>
      <c r="N15" s="48"/>
      <c r="O15" s="49" t="s">
        <v>61</v>
      </c>
      <c r="P15" s="49" t="s">
        <v>57</v>
      </c>
    </row>
    <row r="16" spans="1:16" ht="12.75" customHeight="1" thickBot="1">
      <c r="A16" s="8" t="str">
        <f t="shared" si="0"/>
        <v> MVS 3.23 </v>
      </c>
      <c r="B16" s="3" t="str">
        <f t="shared" si="1"/>
        <v>I</v>
      </c>
      <c r="C16" s="8">
        <f t="shared" si="2"/>
        <v>33512.411</v>
      </c>
      <c r="D16" s="10" t="str">
        <f t="shared" si="3"/>
        <v>vis</v>
      </c>
      <c r="E16" s="46">
        <f>VLOOKUP(C16,A!C$21:E$973,3,FALSE)</f>
        <v>2207.0283150065306</v>
      </c>
      <c r="F16" s="3" t="s">
        <v>47</v>
      </c>
      <c r="G16" s="10" t="str">
        <f t="shared" si="4"/>
        <v>33512.411</v>
      </c>
      <c r="H16" s="8">
        <f t="shared" si="5"/>
        <v>2207</v>
      </c>
      <c r="I16" s="47" t="s">
        <v>71</v>
      </c>
      <c r="J16" s="48" t="s">
        <v>72</v>
      </c>
      <c r="K16" s="47">
        <v>2207</v>
      </c>
      <c r="L16" s="47" t="s">
        <v>73</v>
      </c>
      <c r="M16" s="48" t="s">
        <v>55</v>
      </c>
      <c r="N16" s="48"/>
      <c r="O16" s="49" t="s">
        <v>61</v>
      </c>
      <c r="P16" s="49" t="s">
        <v>57</v>
      </c>
    </row>
    <row r="17" spans="1:16" ht="12.75" customHeight="1" thickBot="1">
      <c r="A17" s="8" t="str">
        <f t="shared" si="0"/>
        <v> MVS 3.23 </v>
      </c>
      <c r="B17" s="3" t="str">
        <f t="shared" si="1"/>
        <v>I</v>
      </c>
      <c r="C17" s="8">
        <f t="shared" si="2"/>
        <v>34955.416</v>
      </c>
      <c r="D17" s="10" t="str">
        <f t="shared" si="3"/>
        <v>vis</v>
      </c>
      <c r="E17" s="46">
        <f>VLOOKUP(C17,A!C$21:E$973,3,FALSE)</f>
        <v>2391.984613945118</v>
      </c>
      <c r="F17" s="3" t="s">
        <v>47</v>
      </c>
      <c r="G17" s="10" t="str">
        <f t="shared" si="4"/>
        <v>34955.416</v>
      </c>
      <c r="H17" s="8">
        <f t="shared" si="5"/>
        <v>2392</v>
      </c>
      <c r="I17" s="47" t="s">
        <v>74</v>
      </c>
      <c r="J17" s="48" t="s">
        <v>75</v>
      </c>
      <c r="K17" s="47">
        <v>2392</v>
      </c>
      <c r="L17" s="47" t="s">
        <v>76</v>
      </c>
      <c r="M17" s="48" t="s">
        <v>55</v>
      </c>
      <c r="N17" s="48"/>
      <c r="O17" s="49" t="s">
        <v>61</v>
      </c>
      <c r="P17" s="49" t="s">
        <v>57</v>
      </c>
    </row>
    <row r="18" spans="1:16" ht="12.75" customHeight="1" thickBot="1">
      <c r="A18" s="8" t="str">
        <f t="shared" si="0"/>
        <v> MVS 3.23 </v>
      </c>
      <c r="B18" s="3" t="str">
        <f t="shared" si="1"/>
        <v>I</v>
      </c>
      <c r="C18" s="8">
        <f t="shared" si="2"/>
        <v>34986.501</v>
      </c>
      <c r="D18" s="10" t="str">
        <f t="shared" si="3"/>
        <v>vis</v>
      </c>
      <c r="E18" s="46">
        <f>VLOOKUP(C18,A!C$21:E$973,3,FALSE)</f>
        <v>2395.968915144702</v>
      </c>
      <c r="F18" s="3" t="s">
        <v>47</v>
      </c>
      <c r="G18" s="10" t="str">
        <f t="shared" si="4"/>
        <v>34986.501</v>
      </c>
      <c r="H18" s="8">
        <f t="shared" si="5"/>
        <v>2396</v>
      </c>
      <c r="I18" s="47" t="s">
        <v>77</v>
      </c>
      <c r="J18" s="48" t="s">
        <v>78</v>
      </c>
      <c r="K18" s="47">
        <v>2396</v>
      </c>
      <c r="L18" s="47" t="s">
        <v>79</v>
      </c>
      <c r="M18" s="48" t="s">
        <v>55</v>
      </c>
      <c r="N18" s="48"/>
      <c r="O18" s="49" t="s">
        <v>61</v>
      </c>
      <c r="P18" s="49" t="s">
        <v>57</v>
      </c>
    </row>
    <row r="19" spans="1:16" ht="12.75" customHeight="1" thickBot="1">
      <c r="A19" s="8" t="str">
        <f t="shared" si="0"/>
        <v> MVS 3.23 </v>
      </c>
      <c r="B19" s="3" t="str">
        <f t="shared" si="1"/>
        <v>I</v>
      </c>
      <c r="C19" s="8">
        <f t="shared" si="2"/>
        <v>35314.46</v>
      </c>
      <c r="D19" s="10" t="str">
        <f t="shared" si="3"/>
        <v>vis</v>
      </c>
      <c r="E19" s="46">
        <f>VLOOKUP(C19,A!C$21:E$973,3,FALSE)</f>
        <v>2438.004862936706</v>
      </c>
      <c r="F19" s="3" t="s">
        <v>47</v>
      </c>
      <c r="G19" s="10" t="str">
        <f t="shared" si="4"/>
        <v>35314.460</v>
      </c>
      <c r="H19" s="8">
        <f t="shared" si="5"/>
        <v>2438</v>
      </c>
      <c r="I19" s="47" t="s">
        <v>80</v>
      </c>
      <c r="J19" s="48" t="s">
        <v>81</v>
      </c>
      <c r="K19" s="47">
        <v>2438</v>
      </c>
      <c r="L19" s="47" t="s">
        <v>82</v>
      </c>
      <c r="M19" s="48" t="s">
        <v>55</v>
      </c>
      <c r="N19" s="48"/>
      <c r="O19" s="49" t="s">
        <v>61</v>
      </c>
      <c r="P19" s="49" t="s">
        <v>57</v>
      </c>
    </row>
    <row r="20" spans="1:16" ht="12.75" customHeight="1" thickBot="1">
      <c r="A20" s="8" t="str">
        <f t="shared" si="0"/>
        <v> MVS 3.23 </v>
      </c>
      <c r="B20" s="3" t="str">
        <f t="shared" si="1"/>
        <v>I</v>
      </c>
      <c r="C20" s="8">
        <f t="shared" si="2"/>
        <v>35369.4</v>
      </c>
      <c r="D20" s="10" t="str">
        <f t="shared" si="3"/>
        <v>vis</v>
      </c>
      <c r="E20" s="46">
        <f>VLOOKUP(C20,A!C$21:E$973,3,FALSE)</f>
        <v>2445.0467644295536</v>
      </c>
      <c r="F20" s="3" t="s">
        <v>47</v>
      </c>
      <c r="G20" s="10" t="str">
        <f t="shared" si="4"/>
        <v>35369.400</v>
      </c>
      <c r="H20" s="8">
        <f t="shared" si="5"/>
        <v>2445</v>
      </c>
      <c r="I20" s="47" t="s">
        <v>83</v>
      </c>
      <c r="J20" s="48" t="s">
        <v>84</v>
      </c>
      <c r="K20" s="47">
        <v>2445</v>
      </c>
      <c r="L20" s="47" t="s">
        <v>85</v>
      </c>
      <c r="M20" s="48" t="s">
        <v>55</v>
      </c>
      <c r="N20" s="48"/>
      <c r="O20" s="49" t="s">
        <v>61</v>
      </c>
      <c r="P20" s="49" t="s">
        <v>57</v>
      </c>
    </row>
    <row r="21" spans="1:16" ht="12.75" customHeight="1" thickBot="1">
      <c r="A21" s="8" t="str">
        <f t="shared" si="0"/>
        <v> MVS 3.23 </v>
      </c>
      <c r="B21" s="3" t="str">
        <f t="shared" si="1"/>
        <v>I</v>
      </c>
      <c r="C21" s="8">
        <f t="shared" si="2"/>
        <v>36453.352</v>
      </c>
      <c r="D21" s="10" t="str">
        <f t="shared" si="3"/>
        <v>vis</v>
      </c>
      <c r="E21" s="46">
        <f>VLOOKUP(C21,A!C$21:E$973,3,FALSE)</f>
        <v>2583.9816608069605</v>
      </c>
      <c r="F21" s="3" t="s">
        <v>47</v>
      </c>
      <c r="G21" s="10" t="str">
        <f t="shared" si="4"/>
        <v>36453.352</v>
      </c>
      <c r="H21" s="8">
        <f t="shared" si="5"/>
        <v>2584</v>
      </c>
      <c r="I21" s="47" t="s">
        <v>86</v>
      </c>
      <c r="J21" s="48" t="s">
        <v>87</v>
      </c>
      <c r="K21" s="47">
        <v>2584</v>
      </c>
      <c r="L21" s="47" t="s">
        <v>88</v>
      </c>
      <c r="M21" s="48" t="s">
        <v>55</v>
      </c>
      <c r="N21" s="48"/>
      <c r="O21" s="49" t="s">
        <v>61</v>
      </c>
      <c r="P21" s="49" t="s">
        <v>57</v>
      </c>
    </row>
    <row r="22" spans="1:16" ht="12.75" customHeight="1" thickBot="1">
      <c r="A22" s="8" t="str">
        <f t="shared" si="0"/>
        <v> MVS 3.23 </v>
      </c>
      <c r="B22" s="3" t="str">
        <f t="shared" si="1"/>
        <v>I</v>
      </c>
      <c r="C22" s="8">
        <f t="shared" si="2"/>
        <v>37935.428</v>
      </c>
      <c r="D22" s="10" t="str">
        <f t="shared" si="3"/>
        <v>vis</v>
      </c>
      <c r="E22" s="46">
        <f>VLOOKUP(C22,A!C$21:E$973,3,FALSE)</f>
        <v>2773.9458616972597</v>
      </c>
      <c r="F22" s="3" t="s">
        <v>47</v>
      </c>
      <c r="G22" s="10" t="str">
        <f t="shared" si="4"/>
        <v>37935.428</v>
      </c>
      <c r="H22" s="8">
        <f t="shared" si="5"/>
        <v>2774</v>
      </c>
      <c r="I22" s="47" t="s">
        <v>89</v>
      </c>
      <c r="J22" s="48" t="s">
        <v>90</v>
      </c>
      <c r="K22" s="47">
        <v>2774</v>
      </c>
      <c r="L22" s="47" t="s">
        <v>91</v>
      </c>
      <c r="M22" s="48" t="s">
        <v>55</v>
      </c>
      <c r="N22" s="48"/>
      <c r="O22" s="49" t="s">
        <v>61</v>
      </c>
      <c r="P22" s="49" t="s">
        <v>57</v>
      </c>
    </row>
    <row r="23" spans="1:16" ht="12.75" customHeight="1" thickBot="1">
      <c r="A23" s="8" t="str">
        <f t="shared" si="0"/>
        <v> MVS 3.23 </v>
      </c>
      <c r="B23" s="3" t="str">
        <f t="shared" si="1"/>
        <v>I</v>
      </c>
      <c r="C23" s="8">
        <f t="shared" si="2"/>
        <v>37959.348</v>
      </c>
      <c r="D23" s="10" t="str">
        <f t="shared" si="3"/>
        <v>vis</v>
      </c>
      <c r="E23" s="46">
        <f>VLOOKUP(C23,A!C$21:E$973,3,FALSE)</f>
        <v>2777.0117933264714</v>
      </c>
      <c r="F23" s="3" t="s">
        <v>47</v>
      </c>
      <c r="G23" s="10" t="str">
        <f t="shared" si="4"/>
        <v>37959.348</v>
      </c>
      <c r="H23" s="8">
        <f t="shared" si="5"/>
        <v>2777</v>
      </c>
      <c r="I23" s="47" t="s">
        <v>92</v>
      </c>
      <c r="J23" s="48" t="s">
        <v>93</v>
      </c>
      <c r="K23" s="47">
        <v>2777</v>
      </c>
      <c r="L23" s="47" t="s">
        <v>94</v>
      </c>
      <c r="M23" s="48" t="s">
        <v>55</v>
      </c>
      <c r="N23" s="48"/>
      <c r="O23" s="49" t="s">
        <v>61</v>
      </c>
      <c r="P23" s="49" t="s">
        <v>57</v>
      </c>
    </row>
    <row r="24" spans="2:6" ht="12.75">
      <c r="B24" s="3"/>
      <c r="E24" s="46"/>
      <c r="F24" s="3"/>
    </row>
    <row r="25" spans="2:6" ht="12.75">
      <c r="B25" s="3"/>
      <c r="E25" s="46"/>
      <c r="F25" s="3"/>
    </row>
    <row r="26" spans="2:6" ht="12.75">
      <c r="B26" s="3"/>
      <c r="E26" s="46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