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<sst xmlns="http://schemas.openxmlformats.org/spreadsheetml/2006/main" count="55" uniqueCount="51">
  <si>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V0392 Vul / GSC 2138-0168</t>
  </si>
  <si>
    <t>System Type:</t>
  </si>
  <si>
    <t>EB</t>
  </si>
  <si>
    <t>V0392 Vul</t>
  </si>
  <si>
    <t>G2138-0168</t>
  </si>
  <si>
    <t>GCVS 4 Eph.</t>
  </si>
  <si>
    <t>not avail.</t>
  </si>
  <si>
    <t>--- Working ----</t>
  </si>
  <si>
    <t>Epoch =</t>
  </si>
  <si>
    <t>IBVS 5644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</si>
  <si>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</si>
  <si>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</si>
  <si>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</si>
  <si>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</si>
  <si>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</si>
  <si>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</si>
  <si>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</si>
  <si>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</si>
  <si>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</si>
  <si>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Add cycle</t>
  </si>
  <si>
    <t>JD today</t>
  </si>
  <si>
    <t>New epoch =</t>
  </si>
  <si>
    <t>Old Cycle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</si>
  <si>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</si>
  <si>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</si>
  <si>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</si>
  <si>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</si>
  <si>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</si>
  <si>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</si>
  <si>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</si>
  <si>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</si>
  <si>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</si>
  <si>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</si>
  <si>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</si>
  <si>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</si>
  <si>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</si>
  <si>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</si>
  <si>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IBVS</t>
  </si>
  <si>
    <t>OEJV</t>
  </si>
  <si>
    <t>S3</t>
  </si>
  <si>
    <t>S4</t>
  </si>
  <si>
    <t>S5</t>
  </si>
  <si>
    <t>S6</t>
  </si>
  <si>
    <t>Misc</t>
  </si>
  <si>
    <t>Lin Fit</t>
  </si>
  <si>
    <t>Q. Fit</t>
  </si>
  <si>
    <t>Date</t>
  </si>
  <si>
    <t>BAD</t>
  </si>
  <si>
    <t>OEJV 0160</t>
  </si>
  <si>
    <t>I</t>
  </si>
  <si>
    <t>OEJV 0211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</si>
</sst>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2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2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2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2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2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3" fillId="15" borderId="0" applyNumberFormat="0" applyBorder="0" applyProtection="0">
      <alignment vertical="top"/>
    </xf>
    <xf numFmtId="0" fontId="4" fillId="16" borderId="1" applyNumberFormat="0" applyProtection="0">
      <alignment vertical="top"/>
    </xf>
    <xf numFmtId="0" fontId="5" fillId="12" borderId="2" applyNumberFormat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2" fontId="0" fillId="0" borderId="0" applyFill="0" applyBorder="0" applyProtection="0">
      <alignment vertical="top"/>
    </xf>
    <xf numFmtId="0" fontId="7" fillId="5" borderId="0" applyNumberFormat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3" applyNumberFormat="0" applyFill="0" applyProtection="0">
      <alignment vertical="top"/>
    </xf>
    <xf numFmtId="0" fontId="10" fillId="0" borderId="0" applyNumberFormat="0" applyFill="0" applyBorder="0" applyProtection="0">
      <alignment vertical="top"/>
    </xf>
    <xf numFmtId="0" fontId="11" fillId="7" borderId="1" applyNumberFormat="0" applyProtection="0">
      <alignment vertical="top"/>
    </xf>
    <xf numFmtId="0" fontId="12" fillId="0" borderId="4" applyNumberFormat="0" applyFill="0" applyProtection="0">
      <alignment vertical="top"/>
    </xf>
    <xf numFmtId="0" fontId="13" fillId="7" borderId="0" applyNumberFormat="0" applyBorder="0" applyProtection="0">
      <alignment vertical="top"/>
    </xf>
    <xf numFmtId="0" fontId="0" fillId="0" borderId="0">
      <alignment/>
      <protection/>
    </xf>
    <xf numFmtId="0" fontId="0" fillId="3" borderId="5" applyNumberFormat="0" applyProtection="0">
      <alignment vertical="top"/>
    </xf>
    <xf numFmtId="0" fontId="14" fillId="16" borderId="6" applyNumberFormat="0" applyProtection="0">
      <alignment vertical="top"/>
    </xf>
    <xf numFmtId="9" fontId="0" fillId="0" borderId="0" applyFill="0" applyBorder="0" applyAlignment="0" applyProtection="0"/>
    <xf numFmtId="0" fontId="15" fillId="0" borderId="0" applyNumberFormat="0" applyFill="0" applyBorder="0" applyProtection="0">
      <alignment vertical="top"/>
    </xf>
    <xf numFmtId="0" fontId="0" fillId="0" borderId="7" applyNumberFormat="0" applyFill="0" applyProtection="0">
      <alignment vertical="top"/>
    </xf>
    <xf numFmtId="0" fontId="12" fillId="0" borderId="0" applyNumberFormat="0" applyFill="0" applyBorder="0" applyProtection="0">
      <alignment vertical="top"/>
    </xf>
  </cellStyleXfs>
  <cellXfs count="34">
    <xf numFmtId="0" fontId="0" fillId="0" borderId="0" xfId="0" applyAlignment="1">
      <alignment vertical="top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0" fontId="17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10" xfId="0" applyFont="1" applyBorder="1" applyAlignment="1">
      <alignment horizont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/>
    </xf>
    <xf numFmtId="0" fontId="18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1" fillId="0" borderId="0" xfId="0" applyFont="1" applyAlignment="1">
      <alignment horizontal="right"/>
    </xf>
    <xf numFmtId="0" fontId="18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17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59" applyFont="1">
      <alignment/>
      <protection/>
    </xf>
    <xf numFmtId="0" fontId="23" fillId="0" borderId="0" xfId="59" applyFont="1" applyAlignment="1">
      <alignment horizontal="center"/>
      <protection/>
    </xf>
    <xf numFmtId="0" fontId="23" fillId="0" borderId="0" xfId="59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33"/>
      <rgbColor rgb="00003300"/>
      <rgbColor rgb="0066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V0392 Vul - O-C Diagr.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8775"/>
          <c:w val="0.9075"/>
          <c:h val="0.68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A!$H$21:$H$23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A!$I$21:$I$23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A!$J$21:$J$23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A!$K$21:$K$23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A!$L$21:$L$23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A!$M$21:$M$23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A!$N$21:$N$23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A!$F$21:$F$23</c:f>
              <c:numCache/>
            </c:numRef>
          </c:xVal>
          <c:yVal>
            <c:numRef>
              <c:f>A!$O$21:$O$23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CC9CCC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A!$R$21:$R$23</c:f>
              <c:numCache/>
            </c:numRef>
          </c:yVal>
          <c:smooth val="0"/>
        </c:ser>
        <c:axId val="44164821"/>
        <c:axId val="61939070"/>
      </c:scatterChart>
      <c:valAx>
        <c:axId val="44164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39070"/>
        <c:crossesAt val="0"/>
        <c:crossBetween val="midCat"/>
        <c:dispUnits/>
      </c:valAx>
      <c:valAx>
        <c:axId val="61939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64821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45"/>
          <c:y val="0.926"/>
          <c:w val="0.745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0</xdr:rowOff>
    </xdr:from>
    <xdr:to>
      <xdr:col>16</xdr:col>
      <xdr:colOff>323850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019550" y="0"/>
        <a:ext cx="63817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1" width="14.421875" style="1" customWidth="1"/>
    <col min="2" max="2" width="4.8515625" style="1" customWidth="1"/>
    <col min="3" max="3" width="11.8515625" style="1" customWidth="1"/>
    <col min="4" max="4" width="9.421875" style="1" customWidth="1"/>
    <col min="5" max="5" width="16.421875" style="1" customWidth="1"/>
    <col min="6" max="6" width="10.281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</cols>
  <sheetData>
    <row r="1" ht="20.25">
      <c r="A1" s="2" t="s">
        <v>0</v>
      </c>
    </row>
    <row r="2" spans="1:6" ht="12.75">
      <c r="A2" s="1" t="s">
        <v>1</v>
      </c>
      <c r="B2" s="1" t="s">
        <v>2</v>
      </c>
      <c r="C2" s="3"/>
      <c r="D2" s="3"/>
      <c r="E2" s="4" t="s">
        <v>3</v>
      </c>
      <c r="F2" s="1" t="s">
        <v>4</v>
      </c>
    </row>
    <row r="4" spans="1:4" ht="12.75">
      <c r="A4" s="5" t="s">
        <v>5</v>
      </c>
      <c r="C4" s="6" t="s">
        <v>6</v>
      </c>
      <c r="D4" s="7" t="s">
        <v>6</v>
      </c>
    </row>
    <row r="6" ht="12.75">
      <c r="A6" s="5" t="s">
        <v>7</v>
      </c>
    </row>
    <row r="7" spans="1:4" ht="12.75">
      <c r="A7" s="1" t="s">
        <v>8</v>
      </c>
      <c r="C7" s="8">
        <v>52888.57</v>
      </c>
      <c r="D7" s="9" t="s">
        <v>9</v>
      </c>
    </row>
    <row r="8" spans="1:4" ht="12.75">
      <c r="A8" s="1" t="s">
        <v>10</v>
      </c>
      <c r="C8" s="8">
        <v>1.351425</v>
      </c>
      <c r="D8" s="9" t="s">
        <v>9</v>
      </c>
    </row>
    <row r="9" spans="1:5" ht="12.75">
      <c r="A9" s="10" t="s">
        <v>11</v>
      </c>
      <c r="B9" s="4"/>
      <c r="C9" s="11">
        <v>-9.5</v>
      </c>
      <c r="D9" s="4" t="s">
        <v>12</v>
      </c>
      <c r="E9" s="4"/>
    </row>
    <row r="10" spans="1:5" ht="12.75">
      <c r="A10" s="4"/>
      <c r="B10" s="4"/>
      <c r="C10" s="12" t="s">
        <v>13</v>
      </c>
      <c r="D10" s="12" t="s">
        <v>14</v>
      </c>
      <c r="E10" s="4"/>
    </row>
    <row r="11" spans="1:7" ht="12.75">
      <c r="A11" s="4" t="s">
        <v>15</v>
      </c>
      <c r="B11" s="4"/>
      <c r="C11" s="13">
        <f ca="1">INTERCEPT(INDIRECT($G$11):G992,INDIRECT($F$11):F992)</f>
        <v>-0.0037643395926910744</v>
      </c>
      <c r="D11" s="3"/>
      <c r="E11" s="4"/>
      <c r="F11" s="14" t="str">
        <f>"F"&amp;E19</f>
        <v>F21</v>
      </c>
      <c r="G11" s="15" t="str">
        <f>"G"&amp;E19</f>
        <v>G21</v>
      </c>
    </row>
    <row r="12" spans="1:5" ht="12.75">
      <c r="A12" s="4" t="s">
        <v>16</v>
      </c>
      <c r="B12" s="4"/>
      <c r="C12" s="13">
        <f ca="1">SLOPE(INDIRECT($G$11):G992,INDIRECT($F$11):F992)</f>
        <v>4.391187652950363E-06</v>
      </c>
      <c r="D12" s="3"/>
      <c r="E12" s="4"/>
    </row>
    <row r="13" spans="1:5" ht="12.75">
      <c r="A13" s="4" t="s">
        <v>17</v>
      </c>
      <c r="B13" s="4"/>
      <c r="C13" s="3" t="s">
        <v>18</v>
      </c>
      <c r="D13" s="16" t="s">
        <v>19</v>
      </c>
      <c r="E13" s="11">
        <v>1</v>
      </c>
    </row>
    <row r="14" spans="1:5" ht="12.75">
      <c r="A14" s="4"/>
      <c r="B14" s="4"/>
      <c r="C14" s="4"/>
      <c r="D14" s="16" t="s">
        <v>20</v>
      </c>
      <c r="E14" s="13">
        <f ca="1">NOW()+15018.5+$C$9/24</f>
        <v>59907.8651005787</v>
      </c>
    </row>
    <row r="15" spans="1:5" ht="12.75">
      <c r="A15" s="17" t="s">
        <v>21</v>
      </c>
      <c r="B15" s="4"/>
      <c r="C15" s="18">
        <f>(C7+C11)+(C8+C12)*INT(MAX(F21:F3533))</f>
        <v>57956.426452614105</v>
      </c>
      <c r="D15" s="16" t="s">
        <v>22</v>
      </c>
      <c r="E15" s="13">
        <f>ROUND(2*(E14-$C$7)/$C$8,0)/2+E13</f>
        <v>5195</v>
      </c>
    </row>
    <row r="16" spans="1:5" ht="12.75">
      <c r="A16" s="17" t="s">
        <v>23</v>
      </c>
      <c r="B16" s="4"/>
      <c r="C16" s="18">
        <f>+C8+C12</f>
        <v>1.3514293911876532</v>
      </c>
      <c r="D16" s="16" t="s">
        <v>24</v>
      </c>
      <c r="E16" s="15">
        <f>ROUND(2*(E14-$C$15)/$C$16,0)/2+E13</f>
        <v>1445</v>
      </c>
    </row>
    <row r="17" spans="1:5" ht="12.75">
      <c r="A17" s="16" t="s">
        <v>25</v>
      </c>
      <c r="B17" s="4"/>
      <c r="C17" s="4">
        <f>COUNT(C21:C2191)</f>
        <v>3</v>
      </c>
      <c r="D17" s="16" t="s">
        <v>26</v>
      </c>
      <c r="E17" s="19">
        <f>+$C$15+$C$16*E16-15018.5-$C$9/24</f>
        <v>44891.1377562136</v>
      </c>
    </row>
    <row r="18" spans="1:5" ht="12.75">
      <c r="A18" s="17" t="s">
        <v>27</v>
      </c>
      <c r="B18" s="4"/>
      <c r="C18" s="20">
        <f>+C15</f>
        <v>57956.426452614105</v>
      </c>
      <c r="D18" s="21">
        <f>+C16</f>
        <v>1.3514293911876532</v>
      </c>
      <c r="E18" s="22" t="s">
        <v>28</v>
      </c>
    </row>
    <row r="19" spans="1:5" ht="12.75">
      <c r="A19" s="23" t="s">
        <v>29</v>
      </c>
      <c r="E19" s="24">
        <v>21</v>
      </c>
    </row>
    <row r="20" spans="1:18" ht="12.75">
      <c r="A20" s="12" t="s">
        <v>30</v>
      </c>
      <c r="B20" s="12" t="s">
        <v>31</v>
      </c>
      <c r="C20" s="12" t="s">
        <v>32</v>
      </c>
      <c r="D20" s="12" t="s">
        <v>33</v>
      </c>
      <c r="E20" s="12" t="s">
        <v>34</v>
      </c>
      <c r="F20" s="12" t="s">
        <v>35</v>
      </c>
      <c r="G20" s="12" t="s">
        <v>36</v>
      </c>
      <c r="H20" s="25" t="s">
        <v>37</v>
      </c>
      <c r="I20" s="25" t="s">
        <v>38</v>
      </c>
      <c r="J20" s="25" t="s">
        <v>39</v>
      </c>
      <c r="K20" s="25" t="s">
        <v>40</v>
      </c>
      <c r="L20" s="25" t="s">
        <v>41</v>
      </c>
      <c r="M20" s="25" t="s">
        <v>42</v>
      </c>
      <c r="N20" s="25" t="s">
        <v>43</v>
      </c>
      <c r="O20" s="25" t="s">
        <v>44</v>
      </c>
      <c r="P20" s="25" t="s">
        <v>45</v>
      </c>
      <c r="Q20" s="12" t="s">
        <v>46</v>
      </c>
      <c r="R20" s="26" t="s">
        <v>47</v>
      </c>
    </row>
    <row r="21" spans="1:17" ht="12.75">
      <c r="A21" s="1" t="str">
        <f>D$7</f>
        <v>IBVS 5644</v>
      </c>
      <c r="C21" s="8">
        <f>C$7</f>
        <v>52888.57</v>
      </c>
      <c r="D21" s="8" t="s">
        <v>18</v>
      </c>
      <c r="E21" s="1">
        <f>+(C21-C$7)/C$8</f>
        <v>0</v>
      </c>
      <c r="F21" s="1">
        <f>ROUND(2*E21,0)/2</f>
        <v>0</v>
      </c>
      <c r="G21" s="1">
        <f>+C21-(C$7+F21*C$8)</f>
        <v>0</v>
      </c>
      <c r="H21" s="1">
        <f>+G21</f>
        <v>0</v>
      </c>
      <c r="O21" s="1">
        <f>+C$11+C$12*$F21</f>
        <v>-0.0037643395926910744</v>
      </c>
      <c r="Q21" s="27">
        <f>+C21-15018.5</f>
        <v>37870.07</v>
      </c>
    </row>
    <row r="22" spans="1:17" ht="12.75">
      <c r="A22" s="28" t="s">
        <v>48</v>
      </c>
      <c r="B22" s="29" t="s">
        <v>49</v>
      </c>
      <c r="C22" s="30">
        <v>56160.36617</v>
      </c>
      <c r="D22" s="30">
        <v>0.0002</v>
      </c>
      <c r="E22" s="1">
        <f>+(C22-C$7)/C$8</f>
        <v>2420.997221451432</v>
      </c>
      <c r="F22" s="1">
        <f>ROUND(2*E22,0)/2</f>
        <v>2421</v>
      </c>
      <c r="G22" s="1">
        <f>+C22-(C$7+F22*C$8)</f>
        <v>-0.003754999997909181</v>
      </c>
      <c r="I22" s="1">
        <f>+G22</f>
        <v>-0.003754999997909181</v>
      </c>
      <c r="O22" s="1">
        <f>+C$11+C$12*$F22</f>
        <v>0.006866725715101754</v>
      </c>
      <c r="Q22" s="27">
        <f>+C22-15018.5</f>
        <v>41141.86617</v>
      </c>
    </row>
    <row r="23" spans="1:17" ht="12.75">
      <c r="A23" s="31" t="s">
        <v>50</v>
      </c>
      <c r="B23" s="32" t="s">
        <v>49</v>
      </c>
      <c r="C23" s="33">
        <v>57956.433310000226</v>
      </c>
      <c r="D23" s="33">
        <v>0.0003</v>
      </c>
      <c r="E23" s="1">
        <f>+(C23-C$7)/C$8</f>
        <v>3750.0144736113552</v>
      </c>
      <c r="F23" s="1">
        <f>ROUND(2*E23,0)/2</f>
        <v>3750</v>
      </c>
      <c r="G23" s="1">
        <f>+C23-(C$7+F23*C$8)</f>
        <v>0.019560000226192642</v>
      </c>
      <c r="I23" s="1">
        <f>+G23</f>
        <v>0.019560000226192642</v>
      </c>
      <c r="O23" s="1">
        <f>+C$11+C$12*$F23</f>
        <v>0.012702614105872784</v>
      </c>
      <c r="Q23" s="27">
        <f>+C23-15018.5</f>
        <v>42937.933310000226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2022-11-24T07:45:44Z</dcterms:modified>
  <cp:category/>
  <cp:version/>
  <cp:contentType/>
  <cp:contentStatus/>
</cp:coreProperties>
</file>