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9927B61F-1743-4D0E-990F-0CED8E6CC5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3" i="1" l="1"/>
  <c r="F33" i="1" s="1"/>
  <c r="G33" i="1" s="1"/>
  <c r="K33" i="1" s="1"/>
  <c r="Q33" i="1"/>
  <c r="E34" i="1"/>
  <c r="F34" i="1" s="1"/>
  <c r="G34" i="1" s="1"/>
  <c r="K34" i="1" s="1"/>
  <c r="Q34" i="1"/>
  <c r="E30" i="1"/>
  <c r="F30" i="1"/>
  <c r="G30" i="1"/>
  <c r="K30" i="1"/>
  <c r="E26" i="1"/>
  <c r="F26" i="1"/>
  <c r="G26" i="1"/>
  <c r="J26" i="1"/>
  <c r="E27" i="1"/>
  <c r="F27" i="1"/>
  <c r="G27" i="1"/>
  <c r="K27" i="1"/>
  <c r="E28" i="1"/>
  <c r="F28" i="1"/>
  <c r="G28" i="1"/>
  <c r="K28" i="1"/>
  <c r="E29" i="1"/>
  <c r="F29" i="1"/>
  <c r="G29" i="1"/>
  <c r="K29" i="1"/>
  <c r="E31" i="1"/>
  <c r="F31" i="1"/>
  <c r="G31" i="1"/>
  <c r="K31" i="1"/>
  <c r="E32" i="1"/>
  <c r="F32" i="1"/>
  <c r="G32" i="1"/>
  <c r="K32" i="1"/>
  <c r="Q30" i="1"/>
  <c r="Q31" i="1"/>
  <c r="Q32" i="1"/>
  <c r="D9" i="1"/>
  <c r="C9" i="1"/>
  <c r="C21" i="1"/>
  <c r="E22" i="1"/>
  <c r="F22" i="1"/>
  <c r="G22" i="1"/>
  <c r="J22" i="1"/>
  <c r="E23" i="1"/>
  <c r="F23" i="1"/>
  <c r="G23" i="1"/>
  <c r="J23" i="1"/>
  <c r="E24" i="1"/>
  <c r="F24" i="1"/>
  <c r="G24" i="1"/>
  <c r="K24" i="1"/>
  <c r="E25" i="1"/>
  <c r="F25" i="1"/>
  <c r="G25" i="1"/>
  <c r="J25" i="1"/>
  <c r="Q29" i="1"/>
  <c r="Q28" i="1"/>
  <c r="Q27" i="1"/>
  <c r="Q25" i="1"/>
  <c r="Q26" i="1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H15" i="2"/>
  <c r="D15" i="2"/>
  <c r="B15" i="2"/>
  <c r="A15" i="2"/>
  <c r="H14" i="2"/>
  <c r="B14" i="2"/>
  <c r="D14" i="2"/>
  <c r="A14" i="2"/>
  <c r="H13" i="2"/>
  <c r="D13" i="2"/>
  <c r="B13" i="2"/>
  <c r="A13" i="2"/>
  <c r="H12" i="2"/>
  <c r="B12" i="2"/>
  <c r="D12" i="2"/>
  <c r="A12" i="2"/>
  <c r="H11" i="2"/>
  <c r="D11" i="2"/>
  <c r="B11" i="2"/>
  <c r="A11" i="2"/>
  <c r="Q22" i="1"/>
  <c r="Q23" i="1"/>
  <c r="Q24" i="1"/>
  <c r="F16" i="1"/>
  <c r="C17" i="1"/>
  <c r="Q21" i="1"/>
  <c r="G21" i="1"/>
  <c r="E21" i="1"/>
  <c r="F21" i="1"/>
  <c r="I21" i="1"/>
  <c r="C12" i="1"/>
  <c r="C11" i="1"/>
  <c r="O34" i="1" l="1"/>
  <c r="O33" i="1"/>
  <c r="O27" i="1"/>
  <c r="O21" i="1"/>
  <c r="O32" i="1"/>
  <c r="O22" i="1"/>
  <c r="O30" i="1"/>
  <c r="O26" i="1"/>
  <c r="O28" i="1"/>
  <c r="O29" i="1"/>
  <c r="C15" i="1"/>
  <c r="O24" i="1"/>
  <c r="O31" i="1"/>
  <c r="O25" i="1"/>
  <c r="O23" i="1"/>
  <c r="C16" i="1"/>
  <c r="D18" i="1" s="1"/>
  <c r="F17" i="1"/>
  <c r="F18" i="1" l="1"/>
  <c r="F19" i="1" s="1"/>
  <c r="C18" i="1"/>
</calcChain>
</file>

<file path=xl/sharedStrings.xml><?xml version="1.0" encoding="utf-8"?>
<sst xmlns="http://schemas.openxmlformats.org/spreadsheetml/2006/main" count="128" uniqueCount="89">
  <si>
    <t>IBVS 6244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</si>
  <si>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</si>
  <si>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</si>
  <si>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</si>
  <si>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</si>
  <si>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</si>
  <si>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</si>
  <si>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</si>
  <si>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</si>
  <si>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</si>
  <si>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</si>
  <si>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</si>
  <si>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</si>
  <si>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</si>
  <si>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</si>
  <si>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</si>
  <si>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</si>
  <si>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</si>
  <si>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</si>
  <si>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</si>
  <si>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</si>
  <si>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</si>
  <si>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</si>
  <si>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</si>
  <si>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</si>
  <si>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</si>
  <si>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</si>
  <si>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</si>
  <si>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</si>
  <si>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</si>
  <si>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</si>
  <si>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</si>
  <si>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</si>
  <si>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</si>
  <si>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</si>
  <si>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</si>
  <si>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</si>
  <si>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</si>
  <si>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</si>
  <si>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</si>
  <si>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MN Boo / GSC 3476-1223</t>
  </si>
  <si>
    <t>BRNO</t>
  </si>
  <si>
    <t>EW</t>
  </si>
  <si>
    <t>IBVS 6048</t>
  </si>
  <si>
    <t>I</t>
  </si>
  <si>
    <t>IBVS 6070</t>
  </si>
  <si>
    <t>OEJV 0160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</si>
  <si>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</si>
  <si>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</si>
  <si>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</si>
  <si>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</si>
  <si>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</si>
  <si>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</si>
  <si>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</si>
  <si>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</si>
  <si>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</si>
  <si>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</si>
  <si>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</si>
  <si>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2456013.4828 </t>
  </si>
  <si>
    <t> 26.03.2012 23:35 </t>
  </si>
  <si>
    <t> 0.0884 </t>
  </si>
  <si>
    <t>C </t>
  </si>
  <si>
    <t> F.Agerer </t>
  </si>
  <si>
    <t>BAVM 228 </t>
  </si>
  <si>
    <t>2456065.4349 </t>
  </si>
  <si>
    <t> 17.05.2012 22:26 </t>
  </si>
  <si>
    <t> 0.0901 </t>
  </si>
  <si>
    <t>-I</t>
  </si>
  <si>
    <t>BAVM 231 </t>
  </si>
  <si>
    <t>2456379.46679 </t>
  </si>
  <si>
    <t> 27.03.2013 23:12 </t>
  </si>
  <si>
    <t>12788</t>
  </si>
  <si>
    <t> 0.09307 </t>
  </si>
  <si>
    <t> J.Jacobsen </t>
  </si>
  <si>
    <t>OEJV 0160 </t>
  </si>
  <si>
    <t>2457150.4088 </t>
  </si>
  <si>
    <t> 07.05.2015 21:48 </t>
  </si>
  <si>
    <t>14777</t>
  </si>
  <si>
    <t> -0.0803 </t>
  </si>
  <si>
    <t>BAVM 241 (=IBVS 6157) </t>
  </si>
  <si>
    <t>2457153.507 </t>
  </si>
  <si>
    <t> 11.05.2015 00:10 </t>
  </si>
  <si>
    <t>14785</t>
  </si>
  <si>
    <t> -0.084 </t>
  </si>
  <si>
    <t>IBVS 6157</t>
  </si>
  <si>
    <t>OEJV 0179</t>
  </si>
  <si>
    <t>OEJV 0211</t>
  </si>
  <si>
    <t>JBAV, 60</t>
  </si>
  <si>
    <t>JBAV,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</si>
</sst>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6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7" fillId="24" borderId="17" xfId="38" applyFill="1" applyBorder="1" applyAlignment="1" applyProtection="1">
      <alignment horizontal="right" vertical="top" wrapText="1"/>
    </xf>
    <xf numFmtId="0" fontId="9" fillId="25" borderId="0" xfId="0" applyFont="1" applyFill="1" applyAlignment="1"/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34" fillId="0" borderId="0" xfId="42" applyFont="1"/>
    <xf numFmtId="0" fontId="34" fillId="0" borderId="0" xfId="42" applyFont="1" applyAlignment="1">
      <alignment horizontal="center"/>
    </xf>
    <xf numFmtId="0" fontId="34" fillId="0" borderId="0" xfId="42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0" applyFont="1" applyFill="1" applyAlignment="1"/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MN Boo - O-C Diagr.</a:t>
            </a:r>
          </a:p>
        </c:rich>
      </c:tx>
      <c:layout>
        <c:manualLayout>
          <c:xMode val="edge"/>
          <c:yMode val="edge"/>
          <c:x val="0.381954887218045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F5-4431-B3BD-35D1E6C27C8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F5-4431-B3BD-35D1E6C27C8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8.8439999999536667E-2</c:v>
                </c:pt>
                <c:pt idx="2">
                  <c:v>9.0080000001762528E-2</c:v>
                </c:pt>
                <c:pt idx="4">
                  <c:v>0.11351499999727821</c:v>
                </c:pt>
                <c:pt idx="5">
                  <c:v>0.11019500000111293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F5-4431-B3BD-35D1E6C27C8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3">
                  <c:v>9.307000000262633E-2</c:v>
                </c:pt>
                <c:pt idx="6">
                  <c:v>0.1169000000008964</c:v>
                </c:pt>
                <c:pt idx="7">
                  <c:v>0.119315000003553</c:v>
                </c:pt>
                <c:pt idx="8">
                  <c:v>0.12127000000327826</c:v>
                </c:pt>
                <c:pt idx="9">
                  <c:v>0.12441000007675029</c:v>
                </c:pt>
                <c:pt idx="10">
                  <c:v>0.12171000000671484</c:v>
                </c:pt>
                <c:pt idx="11">
                  <c:v>0.12896500000351807</c:v>
                </c:pt>
                <c:pt idx="12">
                  <c:v>0.16540500000701286</c:v>
                </c:pt>
                <c:pt idx="13">
                  <c:v>0.16263999996590428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F5-4431-B3BD-35D1E6C27C8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F5-4431-B3BD-35D1E6C27C8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F5-4431-B3BD-35D1E6C27C8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4.1000000000000003E-3</c:v>
                  </c:pt>
                  <c:pt idx="2">
                    <c:v>3.8E-3</c:v>
                  </c:pt>
                  <c:pt idx="3">
                    <c:v>2.9999999999999997E-4</c:v>
                  </c:pt>
                  <c:pt idx="4">
                    <c:v>7.3000000000000001E-3</c:v>
                  </c:pt>
                  <c:pt idx="5">
                    <c:v>2.3E-3</c:v>
                  </c:pt>
                  <c:pt idx="6">
                    <c:v>1.1999999999999999E-3</c:v>
                  </c:pt>
                  <c:pt idx="7">
                    <c:v>3.5999999999999999E-3</c:v>
                  </c:pt>
                  <c:pt idx="8">
                    <c:v>1.1000000000000001E-3</c:v>
                  </c:pt>
                  <c:pt idx="9">
                    <c:v>8.0000000000000004E-4</c:v>
                  </c:pt>
                  <c:pt idx="10">
                    <c:v>1.4E-3</c:v>
                  </c:pt>
                  <c:pt idx="11">
                    <c:v>3.2000000000000002E-3</c:v>
                  </c:pt>
                  <c:pt idx="12">
                    <c:v>1.1000000000000001E-3</c:v>
                  </c:pt>
                  <c:pt idx="13">
                    <c:v>5.0000000000000001E-3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9F5-4431-B3BD-35D1E6C27C8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-4.4259694304961406E-3</c:v>
                </c:pt>
                <c:pt idx="1">
                  <c:v>9.0017028885963593E-2</c:v>
                </c:pt>
                <c:pt idx="2">
                  <c:v>9.108553291960135E-2</c:v>
                </c:pt>
                <c:pt idx="3">
                  <c:v>9.7544400585620639E-2</c:v>
                </c:pt>
                <c:pt idx="4">
                  <c:v>0.11340052201016303</c:v>
                </c:pt>
                <c:pt idx="5">
                  <c:v>0.11346431329575335</c:v>
                </c:pt>
                <c:pt idx="6">
                  <c:v>0.11543785619370368</c:v>
                </c:pt>
                <c:pt idx="7">
                  <c:v>0.11985938967618232</c:v>
                </c:pt>
                <c:pt idx="8">
                  <c:v>0.11986337663153171</c:v>
                </c:pt>
                <c:pt idx="9">
                  <c:v>0.12736682659909238</c:v>
                </c:pt>
                <c:pt idx="10">
                  <c:v>0.12755022654516454</c:v>
                </c:pt>
                <c:pt idx="11">
                  <c:v>0.12755421350051394</c:v>
                </c:pt>
                <c:pt idx="12">
                  <c:v>0.15780723069172028</c:v>
                </c:pt>
                <c:pt idx="13">
                  <c:v>0.15939005196542996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9F5-4431-B3BD-35D1E6C27C88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11844</c:v>
                </c:pt>
                <c:pt idx="2">
                  <c:v>11978</c:v>
                </c:pt>
                <c:pt idx="3">
                  <c:v>12788</c:v>
                </c:pt>
                <c:pt idx="4">
                  <c:v>14776.5</c:v>
                </c:pt>
                <c:pt idx="5">
                  <c:v>14784.5</c:v>
                </c:pt>
                <c:pt idx="6">
                  <c:v>15032</c:v>
                </c:pt>
                <c:pt idx="7">
                  <c:v>15586.5</c:v>
                </c:pt>
                <c:pt idx="8">
                  <c:v>15587</c:v>
                </c:pt>
                <c:pt idx="9">
                  <c:v>16528</c:v>
                </c:pt>
                <c:pt idx="10">
                  <c:v>16551</c:v>
                </c:pt>
                <c:pt idx="11">
                  <c:v>16551.5</c:v>
                </c:pt>
                <c:pt idx="12">
                  <c:v>20345.5</c:v>
                </c:pt>
                <c:pt idx="13">
                  <c:v>20544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9F5-4431-B3BD-35D1E6C27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740776"/>
        <c:axId val="1"/>
      </c:scatterChart>
      <c:valAx>
        <c:axId val="756740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407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DFE5A044-7563-D535-B688-D4EA25D73E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v-astro.de/sfs/BAVM_link.php?BAVMnr=23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av-astro.de/sfs/BAVM_link.php?BAVMnr=22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241" TargetMode="External"/><Relationship Id="rId5" Type="http://schemas.openxmlformats.org/officeDocument/2006/relationships/hyperlink" Target="http://www.bav-astro.de/sfs/BAVM_link.php?BAVMnr=241" TargetMode="External"/><Relationship Id="rId4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22" activePane="bottomRight" state="frozen"/>
      <selection pane="topRight" activeCell="O1" sqref="O1"/>
      <selection pane="bottomLeft" activeCell="A22" sqref="A22"/>
      <selection pane="bottomRight" activeCell="F13" sqref="F13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0.42578125" customWidth="1"/>
    <col min="6" max="6" width="16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40</v>
      </c>
    </row>
    <row r="2" spans="1:6" x14ac:dyDescent="0.2">
      <c r="A2" t="s">
        <v>25</v>
      </c>
      <c r="B2" t="s">
        <v>42</v>
      </c>
      <c r="C2" s="3"/>
      <c r="D2" s="3"/>
    </row>
    <row r="3" spans="1:6" ht="13.5" thickBot="1" x14ac:dyDescent="0.25"/>
    <row r="4" spans="1:6" ht="14.25" thickTop="1" thickBot="1" x14ac:dyDescent="0.25">
      <c r="A4" s="5" t="s">
        <v>2</v>
      </c>
      <c r="C4" s="27" t="s">
        <v>39</v>
      </c>
      <c r="D4" s="28" t="s">
        <v>39</v>
      </c>
    </row>
    <row r="5" spans="1:6" ht="13.5" thickTop="1" x14ac:dyDescent="0.2">
      <c r="A5" s="9" t="s">
        <v>30</v>
      </c>
      <c r="B5" s="10"/>
      <c r="C5" s="11">
        <v>-9.5</v>
      </c>
      <c r="D5" s="10" t="s">
        <v>31</v>
      </c>
    </row>
    <row r="6" spans="1:6" x14ac:dyDescent="0.2">
      <c r="A6" s="5" t="s">
        <v>3</v>
      </c>
    </row>
    <row r="7" spans="1:6" x14ac:dyDescent="0.2">
      <c r="A7" t="s">
        <v>4</v>
      </c>
      <c r="C7" s="63">
        <v>51421.593999999997</v>
      </c>
      <c r="D7" s="29" t="s">
        <v>41</v>
      </c>
    </row>
    <row r="8" spans="1:6" x14ac:dyDescent="0.2">
      <c r="A8" t="s">
        <v>5</v>
      </c>
      <c r="C8" s="63">
        <v>0.38768999999999998</v>
      </c>
      <c r="D8" s="29" t="s">
        <v>41</v>
      </c>
    </row>
    <row r="9" spans="1:6" x14ac:dyDescent="0.2">
      <c r="A9" s="24" t="s">
        <v>34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6" ht="13.5" thickBot="1" x14ac:dyDescent="0.25">
      <c r="A10" s="10"/>
      <c r="B10" s="10"/>
      <c r="C10" s="4" t="s">
        <v>21</v>
      </c>
      <c r="D10" s="4" t="s">
        <v>22</v>
      </c>
      <c r="E10" s="10"/>
    </row>
    <row r="11" spans="1:6" x14ac:dyDescent="0.2">
      <c r="A11" s="10" t="s">
        <v>17</v>
      </c>
      <c r="B11" s="10"/>
      <c r="C11" s="21">
        <f ca="1">INTERCEPT(INDIRECT($D$9):G992,INDIRECT($C$9):F992)</f>
        <v>-4.4259694304961406E-3</v>
      </c>
      <c r="D11" s="3"/>
      <c r="E11" s="10"/>
    </row>
    <row r="12" spans="1:6" x14ac:dyDescent="0.2">
      <c r="A12" s="10" t="s">
        <v>18</v>
      </c>
      <c r="B12" s="10"/>
      <c r="C12" s="21">
        <f ca="1">SLOPE(INDIRECT($D$9):G992,INDIRECT($C$9):F992)</f>
        <v>7.9739106987892378E-6</v>
      </c>
      <c r="D12" s="3"/>
      <c r="E12" s="10"/>
    </row>
    <row r="13" spans="1:6" x14ac:dyDescent="0.2">
      <c r="A13" s="10" t="s">
        <v>20</v>
      </c>
      <c r="B13" s="10"/>
      <c r="C13" s="3" t="s">
        <v>15</v>
      </c>
    </row>
    <row r="14" spans="1:6" x14ac:dyDescent="0.2">
      <c r="A14" s="10"/>
      <c r="B14" s="10"/>
      <c r="C14" s="10"/>
    </row>
    <row r="15" spans="1:6" x14ac:dyDescent="0.2">
      <c r="A15" s="12" t="s">
        <v>19</v>
      </c>
      <c r="B15" s="10"/>
      <c r="C15" s="13">
        <f ca="1">(C7+C11)+(C8+C12)*INT(MAX(F21:F3533))</f>
        <v>59386.456750051962</v>
      </c>
      <c r="E15" s="14" t="s">
        <v>36</v>
      </c>
      <c r="F15" s="11">
        <v>1</v>
      </c>
    </row>
    <row r="16" spans="1:6" x14ac:dyDescent="0.2">
      <c r="A16" s="16" t="s">
        <v>6</v>
      </c>
      <c r="B16" s="10"/>
      <c r="C16" s="17">
        <f ca="1">+C8+C12</f>
        <v>0.38769797391069877</v>
      </c>
      <c r="E16" s="14" t="s">
        <v>32</v>
      </c>
      <c r="F16" s="15">
        <f ca="1">NOW()+15018.5+$C$5/24</f>
        <v>60324.742840277773</v>
      </c>
    </row>
    <row r="17" spans="1:21" ht="13.5" thickBot="1" x14ac:dyDescent="0.25">
      <c r="A17" s="14" t="s">
        <v>29</v>
      </c>
      <c r="B17" s="10"/>
      <c r="C17" s="10">
        <f>COUNT(C21:C2191)</f>
        <v>14</v>
      </c>
      <c r="E17" s="14" t="s">
        <v>37</v>
      </c>
      <c r="F17" s="15">
        <f ca="1">ROUND(2*(F16-$C$7)/$C$8,0)/2+F15</f>
        <v>22965.5</v>
      </c>
    </row>
    <row r="18" spans="1:21" ht="14.25" thickTop="1" thickBot="1" x14ac:dyDescent="0.25">
      <c r="A18" s="16" t="s">
        <v>7</v>
      </c>
      <c r="B18" s="10"/>
      <c r="C18" s="19">
        <f ca="1">+C15</f>
        <v>59386.456750051962</v>
      </c>
      <c r="D18" s="20">
        <f ca="1">+C16</f>
        <v>0.38769797391069877</v>
      </c>
      <c r="E18" s="14" t="s">
        <v>38</v>
      </c>
      <c r="F18" s="23">
        <f ca="1">ROUND(2*(F16-$C$15)/$C$16,0)/2+F15</f>
        <v>2421</v>
      </c>
    </row>
    <row r="19" spans="1:21" ht="13.5" thickTop="1" x14ac:dyDescent="0.2">
      <c r="E19" s="14" t="s">
        <v>33</v>
      </c>
      <c r="F19" s="18">
        <f ca="1">+$C$15+$C$16*F18-15018.5-$C$5/24</f>
        <v>45306.969378223097</v>
      </c>
    </row>
    <row r="20" spans="1:21" ht="13.5" thickBot="1" x14ac:dyDescent="0.25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54</v>
      </c>
      <c r="I20" s="7" t="s">
        <v>57</v>
      </c>
      <c r="J20" s="7" t="s">
        <v>51</v>
      </c>
      <c r="K20" s="7" t="s">
        <v>49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35</v>
      </c>
    </row>
    <row r="21" spans="1:21" x14ac:dyDescent="0.2">
      <c r="A21" s="29" t="s">
        <v>41</v>
      </c>
      <c r="C21" s="8">
        <f>C$7</f>
        <v>51421.593999999997</v>
      </c>
      <c r="D21" s="8" t="s">
        <v>15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 ca="1">+C$11+C$12*$F21</f>
        <v>-4.4259694304961406E-3</v>
      </c>
      <c r="Q21" s="2">
        <f>+C21-15018.5</f>
        <v>36403.093999999997</v>
      </c>
    </row>
    <row r="22" spans="1:21" x14ac:dyDescent="0.2">
      <c r="A22" s="44" t="s">
        <v>43</v>
      </c>
      <c r="B22" s="45" t="s">
        <v>44</v>
      </c>
      <c r="C22" s="46">
        <v>56013.482799999998</v>
      </c>
      <c r="D22" s="46">
        <v>4.1000000000000003E-3</v>
      </c>
      <c r="E22">
        <f>+(C22-C$7)/C$8</f>
        <v>11844.228120405482</v>
      </c>
      <c r="F22">
        <f>ROUND(2*E22,0)/2</f>
        <v>11844</v>
      </c>
      <c r="G22">
        <f>+C22-(C$7+F22*C$8)</f>
        <v>8.8439999999536667E-2</v>
      </c>
      <c r="J22">
        <f>+G22</f>
        <v>8.8439999999536667E-2</v>
      </c>
      <c r="O22">
        <f ca="1">+C$11+C$12*$F22</f>
        <v>9.0017028885963593E-2</v>
      </c>
      <c r="Q22" s="2">
        <f>+C22-15018.5</f>
        <v>40994.982799999998</v>
      </c>
    </row>
    <row r="23" spans="1:21" x14ac:dyDescent="0.2">
      <c r="A23" s="44" t="s">
        <v>45</v>
      </c>
      <c r="B23" s="45" t="s">
        <v>44</v>
      </c>
      <c r="C23" s="46">
        <v>56065.4349</v>
      </c>
      <c r="D23" s="46">
        <v>3.8E-3</v>
      </c>
      <c r="E23">
        <f>+(C23-C$7)/C$8</f>
        <v>11978.232350589396</v>
      </c>
      <c r="F23">
        <f>ROUND(2*E23,0)/2</f>
        <v>11978</v>
      </c>
      <c r="G23">
        <f>+C23-(C$7+F23*C$8)</f>
        <v>9.0080000001762528E-2</v>
      </c>
      <c r="J23">
        <f>+G23</f>
        <v>9.0080000001762528E-2</v>
      </c>
      <c r="O23">
        <f ca="1">+C$11+C$12*$F23</f>
        <v>9.108553291960135E-2</v>
      </c>
      <c r="Q23" s="2">
        <f>+C23-15018.5</f>
        <v>41046.9349</v>
      </c>
    </row>
    <row r="24" spans="1:21" x14ac:dyDescent="0.2">
      <c r="A24" s="44" t="s">
        <v>46</v>
      </c>
      <c r="B24" s="45" t="s">
        <v>44</v>
      </c>
      <c r="C24" s="46">
        <v>56379.466789999999</v>
      </c>
      <c r="D24" s="46">
        <v>2.9999999999999997E-4</v>
      </c>
      <c r="E24">
        <f>+(C24-C$7)/C$8</f>
        <v>12788.240062936886</v>
      </c>
      <c r="F24">
        <f>ROUND(2*E24,0)/2</f>
        <v>12788</v>
      </c>
      <c r="G24">
        <f>+C24-(C$7+F24*C$8)</f>
        <v>9.307000000262633E-2</v>
      </c>
      <c r="K24">
        <f>+G24</f>
        <v>9.307000000262633E-2</v>
      </c>
      <c r="O24">
        <f ca="1">+C$11+C$12*$F24</f>
        <v>9.7544400585620639E-2</v>
      </c>
      <c r="Q24" s="2">
        <f>+C24-15018.5</f>
        <v>41360.966789999999</v>
      </c>
    </row>
    <row r="25" spans="1:21" x14ac:dyDescent="0.2">
      <c r="A25" s="46" t="s">
        <v>84</v>
      </c>
      <c r="B25" s="45"/>
      <c r="C25" s="46">
        <v>57150.408799999997</v>
      </c>
      <c r="D25" s="46">
        <v>7.3000000000000001E-3</v>
      </c>
      <c r="E25">
        <f>+(C25-C$7)/C$8</f>
        <v>14776.792798369832</v>
      </c>
      <c r="F25" s="43">
        <f t="shared" ref="F25:F32" si="0">ROUND(2*E25,0)/2-0.5</f>
        <v>14776.5</v>
      </c>
      <c r="G25">
        <f>+C25-(C$7+F25*C$8)</f>
        <v>0.11351499999727821</v>
      </c>
      <c r="J25">
        <f>+G25</f>
        <v>0.11351499999727821</v>
      </c>
      <c r="O25">
        <f ca="1">+C$11+C$12*$F25</f>
        <v>0.11340052201016303</v>
      </c>
      <c r="Q25" s="2">
        <f>+C25-15018.5</f>
        <v>42131.908799999997</v>
      </c>
    </row>
    <row r="26" spans="1:21" x14ac:dyDescent="0.2">
      <c r="A26" s="46" t="s">
        <v>84</v>
      </c>
      <c r="B26" s="45"/>
      <c r="C26" s="46">
        <v>57153.506999999998</v>
      </c>
      <c r="D26" s="46">
        <v>2.3E-3</v>
      </c>
      <c r="E26">
        <f t="shared" ref="E26:E32" si="1">+(C26-C$7)/C$8</f>
        <v>14784.784234826797</v>
      </c>
      <c r="F26" s="43">
        <f t="shared" si="0"/>
        <v>14784.5</v>
      </c>
      <c r="G26">
        <f t="shared" ref="G26:G32" si="2">+C26-(C$7+F26*C$8)</f>
        <v>0.11019500000111293</v>
      </c>
      <c r="J26">
        <f>+G26</f>
        <v>0.11019500000111293</v>
      </c>
      <c r="O26">
        <f t="shared" ref="O26:O32" ca="1" si="3">+C$11+C$12*$F26</f>
        <v>0.11346431329575335</v>
      </c>
      <c r="Q26" s="2">
        <f t="shared" ref="Q26:Q32" si="4">+C26-15018.5</f>
        <v>42135.006999999998</v>
      </c>
    </row>
    <row r="27" spans="1:21" x14ac:dyDescent="0.2">
      <c r="A27" s="50" t="s">
        <v>85</v>
      </c>
      <c r="B27" s="51" t="s">
        <v>44</v>
      </c>
      <c r="C27" s="52">
        <v>57249.466979999997</v>
      </c>
      <c r="D27" s="52">
        <v>1.1999999999999999E-3</v>
      </c>
      <c r="E27">
        <f t="shared" si="1"/>
        <v>15032.301529572598</v>
      </c>
      <c r="F27" s="43">
        <f t="shared" si="0"/>
        <v>15032</v>
      </c>
      <c r="G27">
        <f t="shared" si="2"/>
        <v>0.1169000000008964</v>
      </c>
      <c r="K27">
        <f t="shared" ref="K27:K32" si="5">+G27</f>
        <v>0.1169000000008964</v>
      </c>
      <c r="O27">
        <f t="shared" ca="1" si="3"/>
        <v>0.11543785619370368</v>
      </c>
      <c r="Q27" s="2">
        <f t="shared" si="4"/>
        <v>42230.966979999997</v>
      </c>
    </row>
    <row r="28" spans="1:21" x14ac:dyDescent="0.2">
      <c r="A28" s="47" t="s">
        <v>1</v>
      </c>
      <c r="B28" s="48" t="s">
        <v>44</v>
      </c>
      <c r="C28" s="49">
        <v>57464.443500000001</v>
      </c>
      <c r="D28" s="49">
        <v>3.5999999999999999E-3</v>
      </c>
      <c r="E28">
        <f t="shared" si="1"/>
        <v>15586.807758776353</v>
      </c>
      <c r="F28" s="43">
        <f t="shared" si="0"/>
        <v>15586.5</v>
      </c>
      <c r="G28">
        <f t="shared" si="2"/>
        <v>0.119315000003553</v>
      </c>
      <c r="K28">
        <f t="shared" si="5"/>
        <v>0.119315000003553</v>
      </c>
      <c r="O28">
        <f t="shared" ca="1" si="3"/>
        <v>0.11985938967618232</v>
      </c>
      <c r="Q28" s="2">
        <f t="shared" si="4"/>
        <v>42445.943500000001</v>
      </c>
    </row>
    <row r="29" spans="1:21" x14ac:dyDescent="0.2">
      <c r="A29" s="47" t="s">
        <v>1</v>
      </c>
      <c r="B29" s="48" t="s">
        <v>44</v>
      </c>
      <c r="C29" s="49">
        <v>57464.639300000003</v>
      </c>
      <c r="D29" s="49">
        <v>1.1000000000000001E-3</v>
      </c>
      <c r="E29">
        <f t="shared" si="1"/>
        <v>15587.312801465103</v>
      </c>
      <c r="F29" s="43">
        <f t="shared" si="0"/>
        <v>15587</v>
      </c>
      <c r="G29">
        <f t="shared" si="2"/>
        <v>0.12127000000327826</v>
      </c>
      <c r="K29">
        <f t="shared" si="5"/>
        <v>0.12127000000327826</v>
      </c>
      <c r="O29">
        <f t="shared" ca="1" si="3"/>
        <v>0.11986337663153171</v>
      </c>
      <c r="Q29" s="2">
        <f t="shared" si="4"/>
        <v>42446.139300000003</v>
      </c>
    </row>
    <row r="30" spans="1:21" x14ac:dyDescent="0.2">
      <c r="A30" s="55" t="s">
        <v>86</v>
      </c>
      <c r="B30" s="56" t="s">
        <v>44</v>
      </c>
      <c r="C30" s="57">
        <v>57829.458730000071</v>
      </c>
      <c r="D30" s="57">
        <v>8.0000000000000004E-4</v>
      </c>
      <c r="E30">
        <f t="shared" si="1"/>
        <v>16528.320900719838</v>
      </c>
      <c r="F30" s="43">
        <f t="shared" si="0"/>
        <v>16528</v>
      </c>
      <c r="G30">
        <f t="shared" si="2"/>
        <v>0.12441000007675029</v>
      </c>
      <c r="K30">
        <f t="shared" si="5"/>
        <v>0.12441000007675029</v>
      </c>
      <c r="O30">
        <f t="shared" ca="1" si="3"/>
        <v>0.12736682659909238</v>
      </c>
      <c r="Q30" s="2">
        <f t="shared" si="4"/>
        <v>42810.958730000071</v>
      </c>
    </row>
    <row r="31" spans="1:21" x14ac:dyDescent="0.2">
      <c r="A31" s="50" t="s">
        <v>0</v>
      </c>
      <c r="B31" s="53" t="s">
        <v>44</v>
      </c>
      <c r="C31" s="54">
        <v>57838.372900000002</v>
      </c>
      <c r="D31" s="54">
        <v>1.4E-3</v>
      </c>
      <c r="E31">
        <f t="shared" si="1"/>
        <v>16551.313936392493</v>
      </c>
      <c r="F31" s="43">
        <f t="shared" si="0"/>
        <v>16551</v>
      </c>
      <c r="G31">
        <f t="shared" si="2"/>
        <v>0.12171000000671484</v>
      </c>
      <c r="K31">
        <f t="shared" si="5"/>
        <v>0.12171000000671484</v>
      </c>
      <c r="O31">
        <f t="shared" ca="1" si="3"/>
        <v>0.12755022654516454</v>
      </c>
      <c r="Q31" s="2">
        <f t="shared" si="4"/>
        <v>42819.872900000002</v>
      </c>
    </row>
    <row r="32" spans="1:21" x14ac:dyDescent="0.2">
      <c r="A32" s="50" t="s">
        <v>0</v>
      </c>
      <c r="B32" s="53" t="s">
        <v>44</v>
      </c>
      <c r="C32" s="54">
        <v>57838.574000000001</v>
      </c>
      <c r="D32" s="54">
        <v>3.2000000000000002E-3</v>
      </c>
      <c r="E32">
        <f t="shared" si="1"/>
        <v>16551.832649797529</v>
      </c>
      <c r="F32" s="43">
        <f t="shared" si="0"/>
        <v>16551.5</v>
      </c>
      <c r="G32">
        <f t="shared" si="2"/>
        <v>0.12896500000351807</v>
      </c>
      <c r="K32">
        <f t="shared" si="5"/>
        <v>0.12896500000351807</v>
      </c>
      <c r="O32">
        <f t="shared" ca="1" si="3"/>
        <v>0.12755421350051394</v>
      </c>
      <c r="Q32" s="2">
        <f t="shared" si="4"/>
        <v>42820.074000000001</v>
      </c>
    </row>
    <row r="33" spans="1:17" x14ac:dyDescent="0.2">
      <c r="A33" s="58" t="s">
        <v>87</v>
      </c>
      <c r="B33" s="59" t="s">
        <v>44</v>
      </c>
      <c r="C33" s="61">
        <v>59309.506300000001</v>
      </c>
      <c r="D33" s="62">
        <v>1.1000000000000001E-3</v>
      </c>
      <c r="E33">
        <f t="shared" ref="E33:E34" si="6">+(C33-C$7)/C$8</f>
        <v>20345.926642420502</v>
      </c>
      <c r="F33" s="60">
        <f t="shared" ref="F33:F34" si="7">ROUND(2*E33,0)/2-0.5</f>
        <v>20345.5</v>
      </c>
      <c r="G33">
        <f t="shared" ref="G33:G34" si="8">+C33-(C$7+F33*C$8)</f>
        <v>0.16540500000701286</v>
      </c>
      <c r="K33">
        <f t="shared" ref="K33:K34" si="9">+G33</f>
        <v>0.16540500000701286</v>
      </c>
      <c r="O33">
        <f t="shared" ref="O33:O34" ca="1" si="10">+C$11+C$12*$F33</f>
        <v>0.15780723069172028</v>
      </c>
      <c r="Q33" s="2">
        <f t="shared" ref="Q33:Q34" si="11">+C33-15018.5</f>
        <v>44291.006300000001</v>
      </c>
    </row>
    <row r="34" spans="1:17" x14ac:dyDescent="0.2">
      <c r="A34" s="58" t="s">
        <v>88</v>
      </c>
      <c r="B34" s="59" t="s">
        <v>44</v>
      </c>
      <c r="C34" s="61">
        <v>59386.459999999963</v>
      </c>
      <c r="D34" s="62">
        <v>5.0000000000000001E-3</v>
      </c>
      <c r="E34">
        <f t="shared" si="6"/>
        <v>20544.419510433505</v>
      </c>
      <c r="F34" s="60">
        <f t="shared" si="7"/>
        <v>20544</v>
      </c>
      <c r="G34">
        <f t="shared" si="8"/>
        <v>0.16263999996590428</v>
      </c>
      <c r="K34">
        <f t="shared" si="9"/>
        <v>0.16263999996590428</v>
      </c>
      <c r="O34">
        <f t="shared" ca="1" si="10"/>
        <v>0.15939005196542996</v>
      </c>
      <c r="Q34" s="2">
        <f t="shared" si="11"/>
        <v>44367.959999999963</v>
      </c>
    </row>
    <row r="35" spans="1:17" x14ac:dyDescent="0.2">
      <c r="C35" s="8"/>
      <c r="D35" s="8"/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32:D32" name="Range1"/>
  </protectedRanges>
  <phoneticPr fontId="8" type="noConversion"/>
  <hyperlinks>
    <hyperlink ref="H2839" r:id="rId1" display="http://vsolj.cetus-net.org/bulletin.html" xr:uid="{00000000-0004-0000-0000-000000000000}"/>
    <hyperlink ref="H64693" r:id="rId2" display="http://vsolj.cetus-net.org/bulletin.html" xr:uid="{00000000-0004-0000-0000-000001000000}"/>
    <hyperlink ref="H64686" r:id="rId3" display="https://www.aavso.org/ejaavso" xr:uid="{00000000-0004-0000-0000-000002000000}"/>
    <hyperlink ref="AP1544" r:id="rId4" display="http://cdsbib.u-strasbg.fr/cgi-bin/cdsbib?1990RMxAA..21..381G" xr:uid="{00000000-0004-0000-0000-000003000000}"/>
    <hyperlink ref="AP1541" r:id="rId5" display="http://cdsbib.u-strasbg.fr/cgi-bin/cdsbib?1990RMxAA..21..381G" xr:uid="{00000000-0004-0000-0000-000004000000}"/>
    <hyperlink ref="AP1543" r:id="rId6" display="http://cdsbib.u-strasbg.fr/cgi-bin/cdsbib?1990RMxAA..21..381G" xr:uid="{00000000-0004-0000-0000-000005000000}"/>
    <hyperlink ref="AP1519" r:id="rId7" display="http://cdsbib.u-strasbg.fr/cgi-bin/cdsbib?1990RMxAA..21..381G" xr:uid="{00000000-0004-0000-0000-000006000000}"/>
    <hyperlink ref="I64693" r:id="rId8" display="http://vsolj.cetus-net.org/bulletin.html" xr:uid="{00000000-0004-0000-0000-000007000000}"/>
    <hyperlink ref="AQ1680" r:id="rId9" display="http://cdsbib.u-strasbg.fr/cgi-bin/cdsbib?1990RMxAA..21..381G" xr:uid="{00000000-0004-0000-0000-000008000000}"/>
    <hyperlink ref="AQ3324" r:id="rId10" display="http://cdsbib.u-strasbg.fr/cgi-bin/cdsbib?1990RMxAA..21..381G" xr:uid="{00000000-0004-0000-0000-000009000000}"/>
    <hyperlink ref="AQ1681" r:id="rId11" display="http://cdsbib.u-strasbg.fr/cgi-bin/cdsbib?1990RMxAA..21..381G" xr:uid="{00000000-0004-0000-0000-00000A000000}"/>
    <hyperlink ref="H64690" r:id="rId12" display="https://www.aavso.org/ejaavso" xr:uid="{00000000-0004-0000-0000-00000B000000}"/>
    <hyperlink ref="H2531" r:id="rId13" display="http://vsolj.cetus-net.org/bulletin.html" xr:uid="{00000000-0004-0000-0000-00000C000000}"/>
    <hyperlink ref="AP5769" r:id="rId14" display="http://cdsbib.u-strasbg.fr/cgi-bin/cdsbib?1990RMxAA..21..381G" xr:uid="{00000000-0004-0000-0000-00000D000000}"/>
    <hyperlink ref="AP5772" r:id="rId15" display="http://cdsbib.u-strasbg.fr/cgi-bin/cdsbib?1990RMxAA..21..381G" xr:uid="{00000000-0004-0000-0000-00000E000000}"/>
    <hyperlink ref="AP5770" r:id="rId16" display="http://cdsbib.u-strasbg.fr/cgi-bin/cdsbib?1990RMxAA..21..381G" xr:uid="{00000000-0004-0000-0000-00000F000000}"/>
    <hyperlink ref="AP5748" r:id="rId17" display="http://cdsbib.u-strasbg.fr/cgi-bin/cdsbib?1990RMxAA..21..381G" xr:uid="{00000000-0004-0000-0000-000010000000}"/>
    <hyperlink ref="I2531" r:id="rId18" display="http://vsolj.cetus-net.org/bulletin.html" xr:uid="{00000000-0004-0000-0000-000011000000}"/>
    <hyperlink ref="AQ5882" r:id="rId19" display="http://cdsbib.u-strasbg.fr/cgi-bin/cdsbib?1990RMxAA..21..381G" xr:uid="{00000000-0004-0000-0000-000012000000}"/>
    <hyperlink ref="AQ434" r:id="rId20" display="http://cdsbib.u-strasbg.fr/cgi-bin/cdsbib?1990RMxAA..21..381G" xr:uid="{00000000-0004-0000-0000-000013000000}"/>
    <hyperlink ref="AQ5883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05"/>
  <sheetViews>
    <sheetView workbookViewId="0">
      <selection activeCell="A14" sqref="A14:D15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0" t="s">
        <v>47</v>
      </c>
      <c r="I1" s="31" t="s">
        <v>48</v>
      </c>
      <c r="J1" s="32" t="s">
        <v>49</v>
      </c>
    </row>
    <row r="2" spans="1:16" x14ac:dyDescent="0.2">
      <c r="I2" s="33" t="s">
        <v>50</v>
      </c>
      <c r="J2" s="34" t="s">
        <v>51</v>
      </c>
    </row>
    <row r="3" spans="1:16" x14ac:dyDescent="0.2">
      <c r="A3" s="35" t="s">
        <v>52</v>
      </c>
      <c r="I3" s="33" t="s">
        <v>53</v>
      </c>
      <c r="J3" s="34" t="s">
        <v>54</v>
      </c>
    </row>
    <row r="4" spans="1:16" x14ac:dyDescent="0.2">
      <c r="I4" s="33" t="s">
        <v>55</v>
      </c>
      <c r="J4" s="34" t="s">
        <v>54</v>
      </c>
    </row>
    <row r="5" spans="1:16" ht="13.5" thickBot="1" x14ac:dyDescent="0.25">
      <c r="I5" s="36" t="s">
        <v>56</v>
      </c>
      <c r="J5" s="37" t="s">
        <v>57</v>
      </c>
    </row>
    <row r="10" spans="1:16" ht="13.5" thickBot="1" x14ac:dyDescent="0.25"/>
    <row r="11" spans="1:16" ht="12.75" customHeight="1" thickBot="1" x14ac:dyDescent="0.25">
      <c r="A11" s="8" t="str">
        <f>P11</f>
        <v>BAVM 228 </v>
      </c>
      <c r="B11" s="3" t="str">
        <f>IF(H11=INT(H11),"I","II")</f>
        <v>I</v>
      </c>
      <c r="C11" s="8">
        <f>1*G11</f>
        <v>56013.482799999998</v>
      </c>
      <c r="D11" s="10" t="str">
        <f>VLOOKUP(F11,I$1:J$5,2,FALSE)</f>
        <v>vis</v>
      </c>
      <c r="E11" s="38">
        <f>VLOOKUP(C11,Active!C$21:E$973,3,FALSE)</f>
        <v>11844.228120405482</v>
      </c>
      <c r="F11" s="3" t="s">
        <v>56</v>
      </c>
      <c r="G11" s="10" t="str">
        <f>MID(I11,3,LEN(I11)-3)</f>
        <v>56013.4828</v>
      </c>
      <c r="H11" s="8">
        <f>1*K11</f>
        <v>11844</v>
      </c>
      <c r="I11" s="39" t="s">
        <v>58</v>
      </c>
      <c r="J11" s="40" t="s">
        <v>59</v>
      </c>
      <c r="K11" s="39">
        <v>11844</v>
      </c>
      <c r="L11" s="39" t="s">
        <v>60</v>
      </c>
      <c r="M11" s="40" t="s">
        <v>61</v>
      </c>
      <c r="N11" s="40" t="s">
        <v>56</v>
      </c>
      <c r="O11" s="41" t="s">
        <v>62</v>
      </c>
      <c r="P11" s="42" t="s">
        <v>63</v>
      </c>
    </row>
    <row r="12" spans="1:16" ht="12.75" customHeight="1" thickBot="1" x14ac:dyDescent="0.25">
      <c r="A12" s="8" t="str">
        <f>P12</f>
        <v>BAVM 231 </v>
      </c>
      <c r="B12" s="3" t="str">
        <f>IF(H12=INT(H12),"I","II")</f>
        <v>I</v>
      </c>
      <c r="C12" s="8">
        <f>1*G12</f>
        <v>56065.4349</v>
      </c>
      <c r="D12" s="10" t="str">
        <f>VLOOKUP(F12,I$1:J$5,2,FALSE)</f>
        <v>vis</v>
      </c>
      <c r="E12" s="38">
        <f>VLOOKUP(C12,Active!C$21:E$973,3,FALSE)</f>
        <v>11978.232350589396</v>
      </c>
      <c r="F12" s="3" t="s">
        <v>56</v>
      </c>
      <c r="G12" s="10" t="str">
        <f>MID(I12,3,LEN(I12)-3)</f>
        <v>56065.4349</v>
      </c>
      <c r="H12" s="8">
        <f>1*K12</f>
        <v>11978</v>
      </c>
      <c r="I12" s="39" t="s">
        <v>64</v>
      </c>
      <c r="J12" s="40" t="s">
        <v>65</v>
      </c>
      <c r="K12" s="39">
        <v>11978</v>
      </c>
      <c r="L12" s="39" t="s">
        <v>66</v>
      </c>
      <c r="M12" s="40" t="s">
        <v>61</v>
      </c>
      <c r="N12" s="40" t="s">
        <v>67</v>
      </c>
      <c r="O12" s="41" t="s">
        <v>62</v>
      </c>
      <c r="P12" s="42" t="s">
        <v>68</v>
      </c>
    </row>
    <row r="13" spans="1:16" ht="12.75" customHeight="1" thickBot="1" x14ac:dyDescent="0.25">
      <c r="A13" s="8" t="str">
        <f>P13</f>
        <v>OEJV 0160 </v>
      </c>
      <c r="B13" s="3" t="str">
        <f>IF(H13=INT(H13),"I","II")</f>
        <v>I</v>
      </c>
      <c r="C13" s="8">
        <f>1*G13</f>
        <v>56379.466789999999</v>
      </c>
      <c r="D13" s="10" t="str">
        <f>VLOOKUP(F13,I$1:J$5,2,FALSE)</f>
        <v>vis</v>
      </c>
      <c r="E13" s="38">
        <f>VLOOKUP(C13,Active!C$21:E$973,3,FALSE)</f>
        <v>12788.240062936886</v>
      </c>
      <c r="F13" s="3" t="s">
        <v>56</v>
      </c>
      <c r="G13" s="10" t="str">
        <f>MID(I13,3,LEN(I13)-3)</f>
        <v>56379.46679</v>
      </c>
      <c r="H13" s="8">
        <f>1*K13</f>
        <v>12788</v>
      </c>
      <c r="I13" s="39" t="s">
        <v>69</v>
      </c>
      <c r="J13" s="40" t="s">
        <v>70</v>
      </c>
      <c r="K13" s="39" t="s">
        <v>71</v>
      </c>
      <c r="L13" s="39" t="s">
        <v>72</v>
      </c>
      <c r="M13" s="40" t="s">
        <v>61</v>
      </c>
      <c r="N13" s="40" t="s">
        <v>48</v>
      </c>
      <c r="O13" s="41" t="s">
        <v>73</v>
      </c>
      <c r="P13" s="42" t="s">
        <v>74</v>
      </c>
    </row>
    <row r="14" spans="1:16" ht="12.75" customHeight="1" thickBot="1" x14ac:dyDescent="0.25">
      <c r="A14" s="8" t="str">
        <f>P14</f>
        <v>BAVM 241 (=IBVS 6157) </v>
      </c>
      <c r="B14" s="3" t="str">
        <f>IF(H14=INT(H14),"I","II")</f>
        <v>I</v>
      </c>
      <c r="C14" s="8">
        <f>1*G14</f>
        <v>57150.408799999997</v>
      </c>
      <c r="D14" s="10" t="str">
        <f>VLOOKUP(F14,I$1:J$5,2,FALSE)</f>
        <v>vis</v>
      </c>
      <c r="E14" s="38">
        <f>VLOOKUP(C14,Active!C$21:E$973,3,FALSE)</f>
        <v>14776.792798369832</v>
      </c>
      <c r="F14" s="3" t="s">
        <v>56</v>
      </c>
      <c r="G14" s="10" t="str">
        <f>MID(I14,3,LEN(I14)-3)</f>
        <v>57150.4088</v>
      </c>
      <c r="H14" s="8">
        <f>1*K14</f>
        <v>14777</v>
      </c>
      <c r="I14" s="39" t="s">
        <v>75</v>
      </c>
      <c r="J14" s="40" t="s">
        <v>76</v>
      </c>
      <c r="K14" s="39" t="s">
        <v>77</v>
      </c>
      <c r="L14" s="39" t="s">
        <v>78</v>
      </c>
      <c r="M14" s="40" t="s">
        <v>61</v>
      </c>
      <c r="N14" s="40" t="s">
        <v>67</v>
      </c>
      <c r="O14" s="41" t="s">
        <v>62</v>
      </c>
      <c r="P14" s="42" t="s">
        <v>79</v>
      </c>
    </row>
    <row r="15" spans="1:16" ht="12.75" customHeight="1" thickBot="1" x14ac:dyDescent="0.25">
      <c r="A15" s="8" t="str">
        <f>P15</f>
        <v>BAVM 241 (=IBVS 6157) </v>
      </c>
      <c r="B15" s="3" t="str">
        <f>IF(H15=INT(H15),"I","II")</f>
        <v>I</v>
      </c>
      <c r="C15" s="8">
        <f>1*G15</f>
        <v>57153.506999999998</v>
      </c>
      <c r="D15" s="10" t="str">
        <f>VLOOKUP(F15,I$1:J$5,2,FALSE)</f>
        <v>vis</v>
      </c>
      <c r="E15" s="38">
        <f>VLOOKUP(C15,Active!C$21:E$973,3,FALSE)</f>
        <v>14784.784234826797</v>
      </c>
      <c r="F15" s="3" t="s">
        <v>56</v>
      </c>
      <c r="G15" s="10" t="str">
        <f>MID(I15,3,LEN(I15)-3)</f>
        <v>57153.507</v>
      </c>
      <c r="H15" s="8">
        <f>1*K15</f>
        <v>14785</v>
      </c>
      <c r="I15" s="39" t="s">
        <v>80</v>
      </c>
      <c r="J15" s="40" t="s">
        <v>81</v>
      </c>
      <c r="K15" s="39" t="s">
        <v>82</v>
      </c>
      <c r="L15" s="39" t="s">
        <v>83</v>
      </c>
      <c r="M15" s="40" t="s">
        <v>61</v>
      </c>
      <c r="N15" s="40" t="s">
        <v>67</v>
      </c>
      <c r="O15" s="41" t="s">
        <v>62</v>
      </c>
      <c r="P15" s="42" t="s">
        <v>79</v>
      </c>
    </row>
    <row r="16" spans="1:16" x14ac:dyDescent="0.2">
      <c r="B16" s="3"/>
      <c r="E16" s="38"/>
      <c r="F16" s="3"/>
    </row>
    <row r="17" spans="2:6" x14ac:dyDescent="0.2">
      <c r="B17" s="3"/>
      <c r="E17" s="38"/>
      <c r="F17" s="3"/>
    </row>
    <row r="18" spans="2:6" x14ac:dyDescent="0.2">
      <c r="B18" s="3"/>
      <c r="F18" s="3"/>
    </row>
    <row r="19" spans="2:6" x14ac:dyDescent="0.2">
      <c r="B19" s="3"/>
      <c r="F19" s="3"/>
    </row>
    <row r="20" spans="2:6" x14ac:dyDescent="0.2">
      <c r="B20" s="3"/>
      <c r="F20" s="3"/>
    </row>
    <row r="21" spans="2:6" x14ac:dyDescent="0.2">
      <c r="B21" s="3"/>
      <c r="F21" s="3"/>
    </row>
    <row r="22" spans="2:6" x14ac:dyDescent="0.2">
      <c r="B22" s="3"/>
      <c r="F22" s="3"/>
    </row>
    <row r="23" spans="2:6" x14ac:dyDescent="0.2">
      <c r="B23" s="3"/>
      <c r="F23" s="3"/>
    </row>
    <row r="24" spans="2:6" x14ac:dyDescent="0.2">
      <c r="B24" s="3"/>
      <c r="F24" s="3"/>
    </row>
    <row r="25" spans="2:6" x14ac:dyDescent="0.2">
      <c r="B25" s="3"/>
      <c r="F25" s="3"/>
    </row>
    <row r="26" spans="2:6" x14ac:dyDescent="0.2">
      <c r="B26" s="3"/>
      <c r="F26" s="3"/>
    </row>
    <row r="27" spans="2:6" x14ac:dyDescent="0.2">
      <c r="B27" s="3"/>
      <c r="F27" s="3"/>
    </row>
    <row r="28" spans="2:6" x14ac:dyDescent="0.2">
      <c r="B28" s="3"/>
      <c r="F28" s="3"/>
    </row>
    <row r="29" spans="2:6" x14ac:dyDescent="0.2">
      <c r="B29" s="3"/>
      <c r="F29" s="3"/>
    </row>
    <row r="30" spans="2:6" x14ac:dyDescent="0.2">
      <c r="B30" s="3"/>
      <c r="F30" s="3"/>
    </row>
    <row r="31" spans="2:6" x14ac:dyDescent="0.2">
      <c r="B31" s="3"/>
      <c r="F31" s="3"/>
    </row>
    <row r="32" spans="2: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</sheetData>
  <phoneticPr fontId="8" type="noConversion"/>
  <hyperlinks>
    <hyperlink ref="A3" r:id="rId1" xr:uid="{00000000-0004-0000-0100-000000000000}"/>
    <hyperlink ref="P11" r:id="rId2" display="http://www.bav-astro.de/sfs/BAVM_link.php?BAVMnr=228" xr:uid="{00000000-0004-0000-0100-000001000000}"/>
    <hyperlink ref="P12" r:id="rId3" display="http://www.bav-astro.de/sfs/BAVM_link.php?BAVMnr=231" xr:uid="{00000000-0004-0000-0100-000002000000}"/>
    <hyperlink ref="P13" r:id="rId4" display="http://var.astro.cz/oejv/issues/oejv0160.pdf" xr:uid="{00000000-0004-0000-0100-000003000000}"/>
    <hyperlink ref="P14" r:id="rId5" display="http://www.bav-astro.de/sfs/BAVM_link.php?BAVMnr=241" xr:uid="{00000000-0004-0000-0100-000004000000}"/>
    <hyperlink ref="P15" r:id="rId6" display="http://www.bav-astro.de/sfs/BAVM_link.php?BAVMnr=241" xr:uid="{00000000-0004-0000-0100-000005000000}"/>
  </hyperlinks>
  <pageMargins left="0.75" right="0.75" top="1" bottom="1" header="0.5" footer="0.5"/>
  <pageSetup orientation="portrait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2024-01-15T04:49:41Z</dcterms:modified>
</cp:coreProperties>
</file>