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71A1FB91-959E-45C3-9AF1-BBDDA6BD7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2" i="1" l="1"/>
  <c r="F42" i="1" s="1"/>
  <c r="G42" i="1" s="1"/>
  <c r="K42" i="1" s="1"/>
  <c r="Q42" i="1"/>
  <c r="E43" i="1"/>
  <c r="F43" i="1" s="1"/>
  <c r="G43" i="1" s="1"/>
  <c r="K43" i="1" s="1"/>
  <c r="Q43" i="1"/>
  <c r="E44" i="1"/>
  <c r="F44" i="1" s="1"/>
  <c r="G44" i="1" s="1"/>
  <c r="K44" i="1" s="1"/>
  <c r="Q44" i="1"/>
  <c r="E40" i="1"/>
  <c r="F40" i="1" s="1"/>
  <c r="G40" i="1" s="1"/>
  <c r="K40" i="1" s="1"/>
  <c r="E37" i="1"/>
  <c r="F37" i="1" s="1"/>
  <c r="G37" i="1" s="1"/>
  <c r="K37" i="1" s="1"/>
  <c r="Q40" i="1"/>
  <c r="Q37" i="1"/>
  <c r="E41" i="1"/>
  <c r="F41" i="1" s="1"/>
  <c r="G41" i="1" s="1"/>
  <c r="K41" i="1" s="1"/>
  <c r="D9" i="1"/>
  <c r="C9" i="1"/>
  <c r="E22" i="1"/>
  <c r="F22" i="1" s="1"/>
  <c r="G22" i="1" s="1"/>
  <c r="J22" i="1" s="1"/>
  <c r="E23" i="1"/>
  <c r="F23" i="1"/>
  <c r="G23" i="1"/>
  <c r="J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K26" i="1" s="1"/>
  <c r="E27" i="1"/>
  <c r="F27" i="1"/>
  <c r="G27" i="1"/>
  <c r="K27" i="1" s="1"/>
  <c r="E28" i="1"/>
  <c r="F28" i="1" s="1"/>
  <c r="G28" i="1" s="1"/>
  <c r="J28" i="1" s="1"/>
  <c r="E29" i="1"/>
  <c r="F29" i="1" s="1"/>
  <c r="G29" i="1" s="1"/>
  <c r="J29" i="1" s="1"/>
  <c r="E30" i="1"/>
  <c r="F30" i="1" s="1"/>
  <c r="G30" i="1" s="1"/>
  <c r="J30" i="1" s="1"/>
  <c r="E31" i="1"/>
  <c r="F31" i="1"/>
  <c r="G31" i="1"/>
  <c r="K31" i="1" s="1"/>
  <c r="E33" i="1"/>
  <c r="F33" i="1" s="1"/>
  <c r="G33" i="1" s="1"/>
  <c r="K33" i="1" s="1"/>
  <c r="E34" i="1"/>
  <c r="F34" i="1" s="1"/>
  <c r="G34" i="1" s="1"/>
  <c r="K34" i="1" s="1"/>
  <c r="E35" i="1"/>
  <c r="F35" i="1" s="1"/>
  <c r="G35" i="1" s="1"/>
  <c r="K35" i="1" s="1"/>
  <c r="E36" i="1"/>
  <c r="F36" i="1"/>
  <c r="G36" i="1"/>
  <c r="K36" i="1" s="1"/>
  <c r="E38" i="1"/>
  <c r="F38" i="1" s="1"/>
  <c r="G38" i="1" s="1"/>
  <c r="K38" i="1" s="1"/>
  <c r="E39" i="1"/>
  <c r="F39" i="1" s="1"/>
  <c r="G39" i="1" s="1"/>
  <c r="K39" i="1" s="1"/>
  <c r="E32" i="1"/>
  <c r="F32" i="1" s="1"/>
  <c r="U32" i="1" s="1"/>
  <c r="Q41" i="1"/>
  <c r="Q36" i="1"/>
  <c r="Q39" i="1"/>
  <c r="Q31" i="1"/>
  <c r="Q35" i="1"/>
  <c r="Q38" i="1"/>
  <c r="Q34" i="1"/>
  <c r="Q32" i="1"/>
  <c r="Q33" i="1"/>
  <c r="Q29" i="1"/>
  <c r="Q30" i="1"/>
  <c r="G18" i="2"/>
  <c r="C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26" i="1"/>
  <c r="Q28" i="1"/>
  <c r="Q27" i="1"/>
  <c r="Q25" i="1"/>
  <c r="E21" i="1"/>
  <c r="F21" i="1" s="1"/>
  <c r="G21" i="1" s="1"/>
  <c r="I21" i="1" s="1"/>
  <c r="Q23" i="1"/>
  <c r="Q22" i="1"/>
  <c r="Q24" i="1"/>
  <c r="F16" i="1"/>
  <c r="C17" i="1"/>
  <c r="Q21" i="1"/>
  <c r="C11" i="1"/>
  <c r="C12" i="1"/>
  <c r="E18" i="2" l="1"/>
  <c r="E11" i="2"/>
  <c r="O43" i="1"/>
  <c r="O42" i="1"/>
  <c r="O44" i="1"/>
  <c r="C16" i="1"/>
  <c r="D18" i="1" s="1"/>
  <c r="O33" i="1"/>
  <c r="O27" i="1"/>
  <c r="O40" i="1"/>
  <c r="O25" i="1"/>
  <c r="O30" i="1"/>
  <c r="O31" i="1"/>
  <c r="O37" i="1"/>
  <c r="O29" i="1"/>
  <c r="O36" i="1"/>
  <c r="O24" i="1"/>
  <c r="C15" i="1"/>
  <c r="F18" i="1" s="1"/>
  <c r="O26" i="1"/>
  <c r="O22" i="1"/>
  <c r="O23" i="1"/>
  <c r="O28" i="1"/>
  <c r="O35" i="1"/>
  <c r="O38" i="1"/>
  <c r="O34" i="1"/>
  <c r="O32" i="1"/>
  <c r="O21" i="1"/>
  <c r="O41" i="1"/>
  <c r="O39" i="1"/>
  <c r="F17" i="1"/>
  <c r="F19" i="1" l="1"/>
  <c r="C18" i="1"/>
</calcChain>
</file>

<file path=xl/sharedStrings.xml><?xml version="1.0" encoding="utf-8"?>
<sst xmlns="http://schemas.openxmlformats.org/spreadsheetml/2006/main" count="170" uniqueCount="118">
  <si>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</si>
  <si>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</si>
  <si>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</si>
  <si>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</si>
  <si>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</si>
  <si>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</si>
  <si>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</si>
  <si>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</si>
  <si>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</si>
  <si>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</si>
  <si>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</si>
  <si>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</si>
  <si>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</si>
  <si>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</si>
  <si>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</si>
  <si>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</si>
  <si>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</si>
  <si>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</si>
  <si>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</si>
  <si>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</si>
  <si>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</si>
  <si>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</si>
  <si>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</si>
  <si>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</si>
  <si>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</si>
  <si>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</si>
  <si>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</si>
  <si>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</si>
  <si>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</si>
  <si>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</si>
  <si>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</si>
  <si>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</si>
  <si>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</si>
  <si>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</si>
  <si>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</si>
  <si>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</si>
  <si>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</si>
  <si>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</si>
  <si>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not avail.</t>
  </si>
  <si>
    <t>PU Boo / GSC 3482-1058</t>
  </si>
  <si>
    <t>BRNO</t>
  </si>
  <si>
    <t>EW</t>
  </si>
  <si>
    <t>IBVS 6048</t>
  </si>
  <si>
    <t>I</t>
  </si>
  <si>
    <t>IBVS 6070</t>
  </si>
  <si>
    <t>OEJV 0160</t>
  </si>
  <si>
    <t>IBVS 6092</t>
  </si>
  <si>
    <t>IBVS 6131</t>
  </si>
  <si>
    <t>IBVS 6149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</si>
  <si>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</si>
  <si>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</si>
  <si>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</si>
  <si>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</si>
  <si>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</si>
  <si>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</si>
  <si>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</si>
  <si>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</si>
  <si>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</si>
  <si>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</si>
  <si>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</si>
  <si>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</si>
  <si>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2456007.4728 </t>
  </si>
  <si>
    <t> 20.03.2012 23:20 </t>
  </si>
  <si>
    <t> -0.0143 </t>
  </si>
  <si>
    <t>C </t>
  </si>
  <si>
    <t> F.Agerer </t>
  </si>
  <si>
    <t>BAVM 228 </t>
  </si>
  <si>
    <t>2456034.4755 </t>
  </si>
  <si>
    <t> 16.04.2012 23:24 </t>
  </si>
  <si>
    <t> -0.0171 </t>
  </si>
  <si>
    <t>-I</t>
  </si>
  <si>
    <t> K. &amp; M.Rätz </t>
  </si>
  <si>
    <t>BAVM 231 </t>
  </si>
  <si>
    <t>2456391.8136 </t>
  </si>
  <si>
    <t> 09.04.2013 07:31 </t>
  </si>
  <si>
    <t>10360</t>
  </si>
  <si>
    <t> -0.0188 </t>
  </si>
  <si>
    <t>R</t>
  </si>
  <si>
    <t> R.Nelson </t>
  </si>
  <si>
    <t>IBVS 6092 </t>
  </si>
  <si>
    <t>2456418.33247 </t>
  </si>
  <si>
    <t> 05.05.2013 19:58 </t>
  </si>
  <si>
    <t>10415</t>
  </si>
  <si>
    <t> -0.02313 </t>
  </si>
  <si>
    <t> M.Urbanik </t>
  </si>
  <si>
    <t>OEJV 0160 </t>
  </si>
  <si>
    <t>2456692.9662 </t>
  </si>
  <si>
    <t> 04.02.2014 11:11 </t>
  </si>
  <si>
    <t>10984.5</t>
  </si>
  <si>
    <t> -0.0251 </t>
  </si>
  <si>
    <t>IBVS 6131 </t>
  </si>
  <si>
    <t>2456728.4157 </t>
  </si>
  <si>
    <t> 11.03.2014 21:58 </t>
  </si>
  <si>
    <t>11058</t>
  </si>
  <si>
    <t> -0.0202 </t>
  </si>
  <si>
    <t>BAVM 238 </t>
  </si>
  <si>
    <t>2457097.5704 </t>
  </si>
  <si>
    <t> 16.03.2015 01:41 </t>
  </si>
  <si>
    <t>11823.5</t>
  </si>
  <si>
    <t>BAVM 241 (=IBVS 6157) </t>
  </si>
  <si>
    <t>2457100.4627 </t>
  </si>
  <si>
    <t> 18.03.2015 23:06 </t>
  </si>
  <si>
    <t>11829.5</t>
  </si>
  <si>
    <t> -0.0214 </t>
  </si>
  <si>
    <t>IBVS 6157</t>
  </si>
  <si>
    <t>OEJV 0179</t>
  </si>
  <si>
    <t>BAD?</t>
  </si>
  <si>
    <t>JAVSO..43..238</t>
  </si>
  <si>
    <t>VSB-64</t>
  </si>
  <si>
    <t>IBVS 6261</t>
  </si>
  <si>
    <t>RHN 2020</t>
  </si>
  <si>
    <t>OEJV 0203</t>
  </si>
  <si>
    <t>II</t>
  </si>
  <si>
    <t>OEJV 0211</t>
  </si>
  <si>
    <t>JBAV, 55</t>
  </si>
  <si>
    <t>JBAV, 60</t>
  </si>
  <si>
    <t>JBAV, 63</t>
  </si>
  <si>
    <t>JAVSO..48….1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</si>
</sst>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8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5" xfId="0" applyBorder="1">
      <alignment vertical="top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36" fillId="0" borderId="0" xfId="0" applyFont="1">
      <alignment vertical="top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Alignment="1"/>
    <xf numFmtId="0" fontId="36" fillId="0" borderId="0" xfId="0" applyFont="1" applyAlignment="1"/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43" applyFont="1"/>
    <xf numFmtId="0" fontId="38" fillId="0" borderId="0" xfId="43" applyFont="1" applyAlignment="1">
      <alignment horizontal="center"/>
    </xf>
    <xf numFmtId="0" fontId="38" fillId="0" borderId="0" xfId="43" applyFont="1" applyAlignment="1">
      <alignment horizontal="left"/>
    </xf>
    <xf numFmtId="0" fontId="38" fillId="0" borderId="0" xfId="42" applyFont="1" applyAlignment="1">
      <alignment wrapText="1"/>
    </xf>
    <xf numFmtId="0" fontId="38" fillId="0" borderId="0" xfId="42" applyFont="1" applyAlignment="1">
      <alignment horizontal="center" wrapText="1"/>
    </xf>
    <xf numFmtId="0" fontId="38" fillId="0" borderId="0" xfId="42" applyFont="1" applyAlignment="1">
      <alignment horizontal="left" wrapText="1"/>
    </xf>
    <xf numFmtId="165" fontId="38" fillId="0" borderId="0" xfId="0" applyNumberFormat="1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5" fillId="0" borderId="0" xfId="42" applyFont="1"/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4" fillId="0" borderId="0" xfId="0" applyFont="1">
      <alignment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42" applyFont="1"/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6" fontId="3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PU Boo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87-4106-BD7A-8136037213A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7-4106-BD7A-8136037213A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1">
                  <c:v>-1.4319999994768295E-2</c:v>
                </c:pt>
                <c:pt idx="2">
                  <c:v>-1.705999999830965E-2</c:v>
                </c:pt>
                <c:pt idx="7">
                  <c:v>-2.0220000005792826E-2</c:v>
                </c:pt>
                <c:pt idx="8">
                  <c:v>-2.0240000005287584E-2</c:v>
                </c:pt>
                <c:pt idx="9">
                  <c:v>-2.1380000005592592E-2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87-4106-BD7A-8136037213A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  <c:pt idx="3">
                  <c:v>-1.8799999998009298E-2</c:v>
                </c:pt>
                <c:pt idx="4">
                  <c:v>-2.313000000140164E-2</c:v>
                </c:pt>
                <c:pt idx="5">
                  <c:v>-1.7990000000281725E-2</c:v>
                </c:pt>
                <c:pt idx="6">
                  <c:v>-2.5079999999434222E-2</c:v>
                </c:pt>
                <c:pt idx="10">
                  <c:v>-2.584000000206288E-2</c:v>
                </c:pt>
                <c:pt idx="12">
                  <c:v>-2.1580000000540167E-2</c:v>
                </c:pt>
                <c:pt idx="13">
                  <c:v>-2.193999999872176E-2</c:v>
                </c:pt>
                <c:pt idx="14">
                  <c:v>-2.2700000001350418E-2</c:v>
                </c:pt>
                <c:pt idx="15">
                  <c:v>-2.1300000000337604E-2</c:v>
                </c:pt>
                <c:pt idx="16">
                  <c:v>-2.1769999992102385E-2</c:v>
                </c:pt>
                <c:pt idx="17">
                  <c:v>-3.1219999997119885E-2</c:v>
                </c:pt>
                <c:pt idx="18">
                  <c:v>-2.4539999998523854E-2</c:v>
                </c:pt>
                <c:pt idx="19">
                  <c:v>-1.4470000001892913E-2</c:v>
                </c:pt>
                <c:pt idx="20">
                  <c:v>-2.6080000003275927E-2</c:v>
                </c:pt>
                <c:pt idx="21">
                  <c:v>-2.552000003925059E-2</c:v>
                </c:pt>
                <c:pt idx="22">
                  <c:v>-2.6160000001254957E-2</c:v>
                </c:pt>
                <c:pt idx="23">
                  <c:v>-3.0200000001059379E-2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87-4106-BD7A-8136037213A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87-4106-BD7A-8136037213A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87-4106-BD7A-8136037213A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87-4106-BD7A-8136037213A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-7.6235378338232428E-3</c:v>
                </c:pt>
                <c:pt idx="1">
                  <c:v>-1.8574145494434882E-2</c:v>
                </c:pt>
                <c:pt idx="2">
                  <c:v>-1.8638271190241036E-2</c:v>
                </c:pt>
                <c:pt idx="3">
                  <c:v>-1.9486791557961756E-2</c:v>
                </c:pt>
                <c:pt idx="4">
                  <c:v>-1.9549772152057086E-2</c:v>
                </c:pt>
                <c:pt idx="5">
                  <c:v>-1.9549772152057086E-2</c:v>
                </c:pt>
                <c:pt idx="6">
                  <c:v>-2.0201907576371456E-2</c:v>
                </c:pt>
                <c:pt idx="7">
                  <c:v>-2.0286072552117035E-2</c:v>
                </c:pt>
                <c:pt idx="8">
                  <c:v>-2.1162647911752944E-2</c:v>
                </c:pt>
                <c:pt idx="9">
                  <c:v>-2.1169518522017889E-2</c:v>
                </c:pt>
                <c:pt idx="10">
                  <c:v>-2.1325824905545389E-2</c:v>
                </c:pt>
                <c:pt idx="11">
                  <c:v>-2.1449495890314401E-2</c:v>
                </c:pt>
                <c:pt idx="12">
                  <c:v>-2.2048384085075447E-2</c:v>
                </c:pt>
                <c:pt idx="13">
                  <c:v>-2.209304305179759E-2</c:v>
                </c:pt>
                <c:pt idx="14">
                  <c:v>-2.2778958976581276E-2</c:v>
                </c:pt>
                <c:pt idx="15">
                  <c:v>-2.2922096690434296E-2</c:v>
                </c:pt>
                <c:pt idx="16">
                  <c:v>-2.3085846235082155E-2</c:v>
                </c:pt>
                <c:pt idx="17">
                  <c:v>-2.3704201158927213E-2</c:v>
                </c:pt>
                <c:pt idx="18">
                  <c:v>-2.4592227535671366E-2</c:v>
                </c:pt>
                <c:pt idx="19">
                  <c:v>-2.4681545469115652E-2</c:v>
                </c:pt>
                <c:pt idx="20">
                  <c:v>-2.5629689685678074E-2</c:v>
                </c:pt>
                <c:pt idx="21">
                  <c:v>-2.6343660602376948E-2</c:v>
                </c:pt>
                <c:pt idx="22">
                  <c:v>-2.6465041383724314E-2</c:v>
                </c:pt>
                <c:pt idx="23">
                  <c:v>-2.7250581157349702E-2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87-4106-BD7A-8136037213A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Active!$U$21:$U$996</c:f>
              <c:numCache>
                <c:formatCode>General</c:formatCode>
                <c:ptCount val="976"/>
                <c:pt idx="11">
                  <c:v>-1.2409999995725229E-2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287-4106-BD7A-813603721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43072"/>
        <c:axId val="1"/>
      </c:scatterChart>
      <c:valAx>
        <c:axId val="513343072"/>
        <c:scaling>
          <c:orientation val="minMax"/>
          <c:min val="9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343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PU Boo - O-C Diagr.</a:t>
            </a:r>
          </a:p>
        </c:rich>
      </c:tx>
      <c:layout>
        <c:manualLayout>
          <c:xMode val="edge"/>
          <c:yMode val="edge"/>
          <c:x val="0.38288351343469451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4285180129124"/>
          <c:y val="0.13994189017784567"/>
          <c:w val="0.81081199971260276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Active!$D$21:$D$236</c:f>
                <c:numCache>
                  <c:formatCode>General</c:formatCode>
                  <c:ptCount val="21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Active!$H$21:$H$996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C4-4134-A548-236065957B2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Active!$I$21:$I$996</c:f>
              <c:numCache>
                <c:formatCode>General</c:formatCode>
                <c:ptCount val="976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C4-4134-A548-236065957B2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Active!$J$21:$J$996</c:f>
              <c:numCache>
                <c:formatCode>General</c:formatCode>
                <c:ptCount val="976"/>
                <c:pt idx="1">
                  <c:v>-1.4319999994768295E-2</c:v>
                </c:pt>
                <c:pt idx="2">
                  <c:v>-1.705999999830965E-2</c:v>
                </c:pt>
                <c:pt idx="7">
                  <c:v>-2.0220000005792826E-2</c:v>
                </c:pt>
                <c:pt idx="8">
                  <c:v>-2.0240000005287584E-2</c:v>
                </c:pt>
                <c:pt idx="9">
                  <c:v>-2.1380000005592592E-2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C4-4134-A548-236065957B2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Active!$K$21:$K$996</c:f>
              <c:numCache>
                <c:formatCode>General</c:formatCode>
                <c:ptCount val="976"/>
                <c:pt idx="3">
                  <c:v>-1.8799999998009298E-2</c:v>
                </c:pt>
                <c:pt idx="4">
                  <c:v>-2.313000000140164E-2</c:v>
                </c:pt>
                <c:pt idx="5">
                  <c:v>-1.7990000000281725E-2</c:v>
                </c:pt>
                <c:pt idx="6">
                  <c:v>-2.5079999999434222E-2</c:v>
                </c:pt>
                <c:pt idx="10">
                  <c:v>-2.584000000206288E-2</c:v>
                </c:pt>
                <c:pt idx="12">
                  <c:v>-2.1580000000540167E-2</c:v>
                </c:pt>
                <c:pt idx="13">
                  <c:v>-2.193999999872176E-2</c:v>
                </c:pt>
                <c:pt idx="14">
                  <c:v>-2.2700000001350418E-2</c:v>
                </c:pt>
                <c:pt idx="15">
                  <c:v>-2.1300000000337604E-2</c:v>
                </c:pt>
                <c:pt idx="16">
                  <c:v>-2.1769999992102385E-2</c:v>
                </c:pt>
                <c:pt idx="17">
                  <c:v>-3.1219999997119885E-2</c:v>
                </c:pt>
                <c:pt idx="18">
                  <c:v>-2.4539999998523854E-2</c:v>
                </c:pt>
                <c:pt idx="19">
                  <c:v>-1.4470000001892913E-2</c:v>
                </c:pt>
                <c:pt idx="20">
                  <c:v>-2.6080000003275927E-2</c:v>
                </c:pt>
                <c:pt idx="21">
                  <c:v>-2.552000003925059E-2</c:v>
                </c:pt>
                <c:pt idx="22">
                  <c:v>-2.6160000001254957E-2</c:v>
                </c:pt>
                <c:pt idx="23">
                  <c:v>-3.0200000001059379E-2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C4-4134-A548-236065957B2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Active!$L$21:$L$996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C4-4134-A548-236065957B2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Active!$M$21:$M$996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FC4-4134-A548-236065957B2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plus>
            <c:minus>
              <c:numRef>
                <c:f>Active!$D$21:$D$996</c:f>
                <c:numCache>
                  <c:formatCode>General</c:formatCode>
                  <c:ptCount val="976"/>
                  <c:pt idx="0">
                    <c:v>0</c:v>
                  </c:pt>
                  <c:pt idx="1">
                    <c:v>4.0000000000000001E-3</c:v>
                  </c:pt>
                  <c:pt idx="2">
                    <c:v>2.0000000000000001E-4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2.5000000000000001E-4</c:v>
                  </c:pt>
                  <c:pt idx="6">
                    <c:v>5.0000000000000001E-4</c:v>
                  </c:pt>
                  <c:pt idx="7">
                    <c:v>5.3E-3</c:v>
                  </c:pt>
                  <c:pt idx="8">
                    <c:v>5.7999999999999996E-3</c:v>
                  </c:pt>
                  <c:pt idx="9">
                    <c:v>1.15E-2</c:v>
                  </c:pt>
                  <c:pt idx="10">
                    <c:v>1E-4</c:v>
                  </c:pt>
                  <c:pt idx="11">
                    <c:v>5.9999999999999995E-4</c:v>
                  </c:pt>
                  <c:pt idx="12">
                    <c:v>8.9999999999999998E-4</c:v>
                  </c:pt>
                  <c:pt idx="13">
                    <c:v>2.5999999999999999E-3</c:v>
                  </c:pt>
                  <c:pt idx="14">
                    <c:v>0</c:v>
                  </c:pt>
                  <c:pt idx="15">
                    <c:v>8.0000000000000004E-4</c:v>
                  </c:pt>
                  <c:pt idx="16">
                    <c:v>2.0000000000000001E-4</c:v>
                  </c:pt>
                  <c:pt idx="17">
                    <c:v>2.0000000000000001E-4</c:v>
                  </c:pt>
                  <c:pt idx="18">
                    <c:v>2.0000000000000001E-4</c:v>
                  </c:pt>
                  <c:pt idx="19">
                    <c:v>6.0000000000000002E-5</c:v>
                  </c:pt>
                  <c:pt idx="20">
                    <c:v>5.0000000000000001E-4</c:v>
                  </c:pt>
                  <c:pt idx="21">
                    <c:v>1E-3</c:v>
                  </c:pt>
                  <c:pt idx="22">
                    <c:v>2.2000000000000001E-3</c:v>
                  </c:pt>
                  <c:pt idx="23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Active!$N$21:$N$996</c:f>
              <c:numCache>
                <c:formatCode>General</c:formatCode>
                <c:ptCount val="97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FC4-4134-A548-236065957B2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Active!$O$21:$O$996</c:f>
              <c:numCache>
                <c:formatCode>General</c:formatCode>
                <c:ptCount val="976"/>
                <c:pt idx="0">
                  <c:v>-7.6235378338232428E-3</c:v>
                </c:pt>
                <c:pt idx="1">
                  <c:v>-1.8574145494434882E-2</c:v>
                </c:pt>
                <c:pt idx="2">
                  <c:v>-1.8638271190241036E-2</c:v>
                </c:pt>
                <c:pt idx="3">
                  <c:v>-1.9486791557961756E-2</c:v>
                </c:pt>
                <c:pt idx="4">
                  <c:v>-1.9549772152057086E-2</c:v>
                </c:pt>
                <c:pt idx="5">
                  <c:v>-1.9549772152057086E-2</c:v>
                </c:pt>
                <c:pt idx="6">
                  <c:v>-2.0201907576371456E-2</c:v>
                </c:pt>
                <c:pt idx="7">
                  <c:v>-2.0286072552117035E-2</c:v>
                </c:pt>
                <c:pt idx="8">
                  <c:v>-2.1162647911752944E-2</c:v>
                </c:pt>
                <c:pt idx="9">
                  <c:v>-2.1169518522017889E-2</c:v>
                </c:pt>
                <c:pt idx="10">
                  <c:v>-2.1325824905545389E-2</c:v>
                </c:pt>
                <c:pt idx="11">
                  <c:v>-2.1449495890314401E-2</c:v>
                </c:pt>
                <c:pt idx="12">
                  <c:v>-2.2048384085075447E-2</c:v>
                </c:pt>
                <c:pt idx="13">
                  <c:v>-2.209304305179759E-2</c:v>
                </c:pt>
                <c:pt idx="14">
                  <c:v>-2.2778958976581276E-2</c:v>
                </c:pt>
                <c:pt idx="15">
                  <c:v>-2.2922096690434296E-2</c:v>
                </c:pt>
                <c:pt idx="16">
                  <c:v>-2.3085846235082155E-2</c:v>
                </c:pt>
                <c:pt idx="17">
                  <c:v>-2.3704201158927213E-2</c:v>
                </c:pt>
                <c:pt idx="18">
                  <c:v>-2.4592227535671366E-2</c:v>
                </c:pt>
                <c:pt idx="19">
                  <c:v>-2.4681545469115652E-2</c:v>
                </c:pt>
                <c:pt idx="20">
                  <c:v>-2.5629689685678074E-2</c:v>
                </c:pt>
                <c:pt idx="21">
                  <c:v>-2.6343660602376948E-2</c:v>
                </c:pt>
                <c:pt idx="22">
                  <c:v>-2.6465041383724314E-2</c:v>
                </c:pt>
                <c:pt idx="23">
                  <c:v>-2.7250581157349702E-2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FC4-4134-A548-236065957B2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Active!$F$21:$F$996</c:f>
              <c:numCache>
                <c:formatCode>General</c:formatCode>
                <c:ptCount val="976"/>
                <c:pt idx="0">
                  <c:v>0</c:v>
                </c:pt>
                <c:pt idx="1">
                  <c:v>9563</c:v>
                </c:pt>
                <c:pt idx="2">
                  <c:v>9619</c:v>
                </c:pt>
                <c:pt idx="3">
                  <c:v>10360</c:v>
                </c:pt>
                <c:pt idx="4">
                  <c:v>10415</c:v>
                </c:pt>
                <c:pt idx="5">
                  <c:v>10415</c:v>
                </c:pt>
                <c:pt idx="6">
                  <c:v>10984.5</c:v>
                </c:pt>
                <c:pt idx="7">
                  <c:v>11058</c:v>
                </c:pt>
                <c:pt idx="8">
                  <c:v>11823.5</c:v>
                </c:pt>
                <c:pt idx="9">
                  <c:v>11829.5</c:v>
                </c:pt>
                <c:pt idx="10">
                  <c:v>11966</c:v>
                </c:pt>
                <c:pt idx="11">
                  <c:v>12074</c:v>
                </c:pt>
                <c:pt idx="12">
                  <c:v>12597</c:v>
                </c:pt>
                <c:pt idx="13">
                  <c:v>12636</c:v>
                </c:pt>
                <c:pt idx="14">
                  <c:v>13235</c:v>
                </c:pt>
                <c:pt idx="15">
                  <c:v>13360</c:v>
                </c:pt>
                <c:pt idx="16">
                  <c:v>13503</c:v>
                </c:pt>
                <c:pt idx="17">
                  <c:v>14043</c:v>
                </c:pt>
                <c:pt idx="18">
                  <c:v>14818.5</c:v>
                </c:pt>
                <c:pt idx="19">
                  <c:v>14896.5</c:v>
                </c:pt>
                <c:pt idx="20">
                  <c:v>15724.5</c:v>
                </c:pt>
                <c:pt idx="21">
                  <c:v>16348</c:v>
                </c:pt>
                <c:pt idx="22">
                  <c:v>16454</c:v>
                </c:pt>
                <c:pt idx="23">
                  <c:v>17140</c:v>
                </c:pt>
              </c:numCache>
            </c:numRef>
          </c:xVal>
          <c:yVal>
            <c:numRef>
              <c:f>Active!$U$21:$U$996</c:f>
              <c:numCache>
                <c:formatCode>General</c:formatCode>
                <c:ptCount val="976"/>
                <c:pt idx="11">
                  <c:v>-1.2409999995725229E-2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FC4-4134-A548-236065957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50944"/>
        <c:axId val="1"/>
      </c:scatterChart>
      <c:valAx>
        <c:axId val="51335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3693693693693691"/>
              <c:y val="0.92128279883381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3509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62162162162163"/>
          <c:y val="0.90379008746355682"/>
          <c:w val="0.72222222222222221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0</xdr:rowOff>
    </xdr:from>
    <xdr:to>
      <xdr:col>17</xdr:col>
      <xdr:colOff>561975</xdr:colOff>
      <xdr:row>19</xdr:row>
      <xdr:rowOff>9524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48E52FA-A66E-FE04-C861-647450499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123825</xdr:colOff>
      <xdr:row>0</xdr:row>
      <xdr:rowOff>0</xdr:rowOff>
    </xdr:from>
    <xdr:to>
      <xdr:col>27</xdr:col>
      <xdr:colOff>295275</xdr:colOff>
      <xdr:row>19</xdr:row>
      <xdr:rowOff>9525</xdr:rowOff>
    </xdr:to>
    <xdr:graphicFrame macro="">
      <xdr:nvGraphicFramePr>
        <xdr:cNvPr id="1036" name="Chart 2">
          <a:extLst>
            <a:ext uri="{FF2B5EF4-FFF2-40B4-BE49-F238E27FC236}">
              <a16:creationId xmlns:a16="http://schemas.microsoft.com/office/drawing/2014/main" id="{9371BC51-F238-0102-7C01-0E5DE9356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241" TargetMode="External"/><Relationship Id="rId3" Type="http://schemas.openxmlformats.org/officeDocument/2006/relationships/hyperlink" Target="http://www.bav-astro.de/sfs/BAVM_link.php?BAVMnr=231" TargetMode="External"/><Relationship Id="rId7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bav-astro.de/sfs/BAVM_link.php?BAVMnr=22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6131" TargetMode="External"/><Relationship Id="rId5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konkoly.hu/cgi-bin/IBVS?6092" TargetMode="External"/><Relationship Id="rId9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7"/>
  <sheetViews>
    <sheetView tabSelected="1" workbookViewId="0">
      <pane xSplit="14" ySplit="21" topLeftCell="O29" activePane="bottomRight" state="frozen"/>
      <selection pane="topRight" activeCell="O1" sqref="O1"/>
      <selection pane="bottomLeft" activeCell="A22" sqref="A22"/>
      <selection pane="bottomRight" activeCell="E50" sqref="E5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2.71093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39</v>
      </c>
    </row>
    <row r="2" spans="1:6" x14ac:dyDescent="0.2">
      <c r="A2" t="s">
        <v>25</v>
      </c>
      <c r="B2" s="30" t="s">
        <v>41</v>
      </c>
      <c r="C2" s="3"/>
      <c r="D2" s="3"/>
    </row>
    <row r="3" spans="1:6" ht="13.5" thickBot="1" x14ac:dyDescent="0.25"/>
    <row r="4" spans="1:6" ht="14.25" thickTop="1" thickBot="1" x14ac:dyDescent="0.25">
      <c r="A4" s="5" t="s">
        <v>2</v>
      </c>
      <c r="C4" s="27" t="s">
        <v>38</v>
      </c>
      <c r="D4" s="28" t="s">
        <v>38</v>
      </c>
    </row>
    <row r="5" spans="1:6" ht="13.5" thickTop="1" x14ac:dyDescent="0.2">
      <c r="A5" s="9" t="s">
        <v>30</v>
      </c>
      <c r="B5" s="10"/>
      <c r="C5" s="11">
        <v>-9.5</v>
      </c>
      <c r="D5" s="10" t="s">
        <v>31</v>
      </c>
    </row>
    <row r="6" spans="1:6" x14ac:dyDescent="0.2">
      <c r="A6" s="5" t="s">
        <v>3</v>
      </c>
    </row>
    <row r="7" spans="1:6" x14ac:dyDescent="0.2">
      <c r="A7" t="s">
        <v>4</v>
      </c>
      <c r="C7" s="8">
        <v>51395.826000000001</v>
      </c>
      <c r="D7" s="29" t="s">
        <v>40</v>
      </c>
    </row>
    <row r="8" spans="1:6" x14ac:dyDescent="0.2">
      <c r="A8" t="s">
        <v>5</v>
      </c>
      <c r="C8" s="8">
        <v>0.48224</v>
      </c>
      <c r="D8" s="29" t="s">
        <v>40</v>
      </c>
    </row>
    <row r="9" spans="1:6" x14ac:dyDescent="0.2">
      <c r="A9" s="24" t="s">
        <v>34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6" x14ac:dyDescent="0.2">
      <c r="A11" s="10" t="s">
        <v>17</v>
      </c>
      <c r="B11" s="10"/>
      <c r="C11" s="21">
        <f ca="1">INTERCEPT(INDIRECT($D$9):G989,INDIRECT($C$9):F989)</f>
        <v>-7.6235378338232428E-3</v>
      </c>
      <c r="D11" s="3"/>
      <c r="E11" s="10"/>
    </row>
    <row r="12" spans="1:6" x14ac:dyDescent="0.2">
      <c r="A12" s="10" t="s">
        <v>18</v>
      </c>
      <c r="B12" s="10"/>
      <c r="C12" s="21">
        <f ca="1">SLOPE(INDIRECT($D$9):G989,INDIRECT($C$9):F989)</f>
        <v>-1.1451017108241808E-6</v>
      </c>
      <c r="D12" s="3"/>
      <c r="E12" s="10"/>
    </row>
    <row r="13" spans="1:6" x14ac:dyDescent="0.2">
      <c r="A13" s="10" t="s">
        <v>20</v>
      </c>
      <c r="B13" s="10"/>
      <c r="C13" s="3" t="s">
        <v>15</v>
      </c>
    </row>
    <row r="14" spans="1:6" x14ac:dyDescent="0.2">
      <c r="A14" s="10"/>
      <c r="B14" s="10"/>
      <c r="C14" s="10"/>
    </row>
    <row r="15" spans="1:6" x14ac:dyDescent="0.2">
      <c r="A15" s="12" t="s">
        <v>19</v>
      </c>
      <c r="B15" s="10"/>
      <c r="C15" s="13">
        <f ca="1">(C7+C11)+(C8+C12)*INT(MAX(F21:F3530))</f>
        <v>59661.392349418842</v>
      </c>
      <c r="E15" s="14" t="s">
        <v>35</v>
      </c>
      <c r="F15" s="11">
        <v>1</v>
      </c>
    </row>
    <row r="16" spans="1:6" x14ac:dyDescent="0.2">
      <c r="A16" s="16" t="s">
        <v>6</v>
      </c>
      <c r="B16" s="10"/>
      <c r="C16" s="17">
        <f ca="1">+C8+C12</f>
        <v>0.48223885489828916</v>
      </c>
      <c r="E16" s="14" t="s">
        <v>32</v>
      </c>
      <c r="F16" s="15">
        <f ca="1">NOW()+15018.5+$C$5/24</f>
        <v>60324.7529474537</v>
      </c>
    </row>
    <row r="17" spans="1:21" ht="13.5" thickBot="1" x14ac:dyDescent="0.25">
      <c r="A17" s="14" t="s">
        <v>29</v>
      </c>
      <c r="B17" s="10"/>
      <c r="C17" s="10">
        <f>COUNT(C21:C2188)</f>
        <v>24</v>
      </c>
      <c r="E17" s="14" t="s">
        <v>36</v>
      </c>
      <c r="F17" s="15">
        <f ca="1">ROUND(2*(F16-$C$7)/$C$8,0)/2+F15</f>
        <v>18516.5</v>
      </c>
    </row>
    <row r="18" spans="1:21" ht="14.25" thickTop="1" thickBot="1" x14ac:dyDescent="0.25">
      <c r="A18" s="16" t="s">
        <v>7</v>
      </c>
      <c r="B18" s="10"/>
      <c r="C18" s="19">
        <f ca="1">+C15</f>
        <v>59661.392349418842</v>
      </c>
      <c r="D18" s="20">
        <f ca="1">+C16</f>
        <v>0.48223885489828916</v>
      </c>
      <c r="E18" s="14" t="s">
        <v>37</v>
      </c>
      <c r="F18" s="23">
        <f ca="1">ROUND(2*(F16-$C$15)/$C$16,0)/2+F15</f>
        <v>1376.5</v>
      </c>
    </row>
    <row r="19" spans="1:21" ht="13.5" thickTop="1" x14ac:dyDescent="0.2">
      <c r="E19" s="14" t="s">
        <v>33</v>
      </c>
      <c r="F19" s="18">
        <f ca="1">+$C$15+$C$16*F18-15018.5-$C$5/24</f>
        <v>45307.08996651967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57</v>
      </c>
      <c r="I20" s="7" t="s">
        <v>60</v>
      </c>
      <c r="J20" s="7" t="s">
        <v>54</v>
      </c>
      <c r="K20" s="7" t="s">
        <v>52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26" t="s">
        <v>106</v>
      </c>
    </row>
    <row r="21" spans="1:21" x14ac:dyDescent="0.2">
      <c r="A21" s="29" t="s">
        <v>40</v>
      </c>
      <c r="C21" s="8">
        <v>51395.826000000001</v>
      </c>
      <c r="D21" s="8" t="s">
        <v>15</v>
      </c>
      <c r="E21">
        <f t="shared" ref="E21:E44" si="0">+(C21-C$7)/C$8</f>
        <v>0</v>
      </c>
      <c r="F21">
        <f t="shared" ref="F21:F44" si="1">ROUND(2*E21,0)/2</f>
        <v>0</v>
      </c>
      <c r="G21">
        <f t="shared" ref="G21:G31" si="2">+C21-(C$7+F21*C$8)</f>
        <v>0</v>
      </c>
      <c r="I21">
        <f>+G21</f>
        <v>0</v>
      </c>
      <c r="O21">
        <f t="shared" ref="O21:O44" ca="1" si="3">+C$11+C$12*$F21</f>
        <v>-7.6235378338232428E-3</v>
      </c>
      <c r="Q21" s="2">
        <f t="shared" ref="Q21:Q44" si="4">+C21-15018.5</f>
        <v>36377.326000000001</v>
      </c>
    </row>
    <row r="22" spans="1:21" x14ac:dyDescent="0.2">
      <c r="A22" s="31" t="s">
        <v>42</v>
      </c>
      <c r="B22" s="32" t="s">
        <v>43</v>
      </c>
      <c r="C22" s="33">
        <v>56007.472800000003</v>
      </c>
      <c r="D22" s="33">
        <v>4.0000000000000001E-3</v>
      </c>
      <c r="E22">
        <f t="shared" si="0"/>
        <v>9562.9703052422083</v>
      </c>
      <c r="F22">
        <f t="shared" si="1"/>
        <v>9563</v>
      </c>
      <c r="G22">
        <f t="shared" si="2"/>
        <v>-1.4319999994768295E-2</v>
      </c>
      <c r="J22">
        <f>+G22</f>
        <v>-1.4319999994768295E-2</v>
      </c>
      <c r="O22">
        <f t="shared" ca="1" si="3"/>
        <v>-1.8574145494434882E-2</v>
      </c>
      <c r="Q22" s="2">
        <f t="shared" si="4"/>
        <v>40988.972800000003</v>
      </c>
    </row>
    <row r="23" spans="1:21" x14ac:dyDescent="0.2">
      <c r="A23" s="47" t="s">
        <v>44</v>
      </c>
      <c r="B23" s="48" t="s">
        <v>43</v>
      </c>
      <c r="C23" s="49">
        <v>56034.4755</v>
      </c>
      <c r="D23" s="49">
        <v>2.0000000000000001E-4</v>
      </c>
      <c r="E23">
        <f t="shared" si="0"/>
        <v>9618.9646234240208</v>
      </c>
      <c r="F23">
        <f t="shared" si="1"/>
        <v>9619</v>
      </c>
      <c r="G23">
        <f t="shared" si="2"/>
        <v>-1.705999999830965E-2</v>
      </c>
      <c r="J23">
        <f>+G23</f>
        <v>-1.705999999830965E-2</v>
      </c>
      <c r="O23">
        <f t="shared" ca="1" si="3"/>
        <v>-1.8638271190241036E-2</v>
      </c>
      <c r="Q23" s="2">
        <f t="shared" si="4"/>
        <v>41015.9755</v>
      </c>
    </row>
    <row r="24" spans="1:21" x14ac:dyDescent="0.2">
      <c r="A24" s="50" t="s">
        <v>46</v>
      </c>
      <c r="B24" s="51"/>
      <c r="C24" s="49">
        <v>56391.813600000001</v>
      </c>
      <c r="D24" s="49">
        <v>2.9999999999999997E-4</v>
      </c>
      <c r="E24">
        <f t="shared" si="0"/>
        <v>10359.961015262112</v>
      </c>
      <c r="F24">
        <f t="shared" si="1"/>
        <v>10360</v>
      </c>
      <c r="G24">
        <f t="shared" si="2"/>
        <v>-1.8799999998009298E-2</v>
      </c>
      <c r="K24">
        <f>+G24</f>
        <v>-1.8799999998009298E-2</v>
      </c>
      <c r="O24">
        <f t="shared" ca="1" si="3"/>
        <v>-1.9486791557961756E-2</v>
      </c>
      <c r="Q24" s="2">
        <f t="shared" si="4"/>
        <v>41373.313600000001</v>
      </c>
    </row>
    <row r="25" spans="1:21" x14ac:dyDescent="0.2">
      <c r="A25" s="47" t="s">
        <v>45</v>
      </c>
      <c r="B25" s="48" t="s">
        <v>43</v>
      </c>
      <c r="C25" s="49">
        <v>56418.332470000001</v>
      </c>
      <c r="D25" s="49">
        <v>2.9999999999999997E-4</v>
      </c>
      <c r="E25">
        <f t="shared" si="0"/>
        <v>10414.952036330458</v>
      </c>
      <c r="F25">
        <f t="shared" si="1"/>
        <v>10415</v>
      </c>
      <c r="G25">
        <f t="shared" si="2"/>
        <v>-2.313000000140164E-2</v>
      </c>
      <c r="K25">
        <f>+G25</f>
        <v>-2.313000000140164E-2</v>
      </c>
      <c r="O25">
        <f t="shared" ca="1" si="3"/>
        <v>-1.9549772152057086E-2</v>
      </c>
      <c r="Q25" s="2">
        <f t="shared" si="4"/>
        <v>41399.832470000001</v>
      </c>
    </row>
    <row r="26" spans="1:21" x14ac:dyDescent="0.2">
      <c r="A26" s="49" t="s">
        <v>49</v>
      </c>
      <c r="B26" s="48"/>
      <c r="C26" s="49">
        <v>56418.337610000002</v>
      </c>
      <c r="D26" s="49">
        <v>2.5000000000000001E-4</v>
      </c>
      <c r="E26">
        <f t="shared" si="0"/>
        <v>10414.962694923692</v>
      </c>
      <c r="F26">
        <f t="shared" si="1"/>
        <v>10415</v>
      </c>
      <c r="G26">
        <f t="shared" si="2"/>
        <v>-1.7990000000281725E-2</v>
      </c>
      <c r="K26">
        <f>+G26</f>
        <v>-1.7990000000281725E-2</v>
      </c>
      <c r="O26">
        <f t="shared" ca="1" si="3"/>
        <v>-1.9549772152057086E-2</v>
      </c>
      <c r="Q26" s="2">
        <f t="shared" si="4"/>
        <v>41399.837610000002</v>
      </c>
    </row>
    <row r="27" spans="1:21" x14ac:dyDescent="0.2">
      <c r="A27" s="50" t="s">
        <v>47</v>
      </c>
      <c r="B27" s="52"/>
      <c r="C27" s="53">
        <v>56692.966200000003</v>
      </c>
      <c r="D27" s="53">
        <v>5.0000000000000001E-4</v>
      </c>
      <c r="E27">
        <f t="shared" si="0"/>
        <v>10984.447992700734</v>
      </c>
      <c r="F27">
        <f t="shared" si="1"/>
        <v>10984.5</v>
      </c>
      <c r="G27">
        <f t="shared" si="2"/>
        <v>-2.5079999999434222E-2</v>
      </c>
      <c r="K27">
        <f>+G27</f>
        <v>-2.5079999999434222E-2</v>
      </c>
      <c r="O27">
        <f t="shared" ca="1" si="3"/>
        <v>-2.0201907576371456E-2</v>
      </c>
      <c r="Q27" s="2">
        <f t="shared" si="4"/>
        <v>41674.466200000003</v>
      </c>
    </row>
    <row r="28" spans="1:21" x14ac:dyDescent="0.2">
      <c r="A28" s="54" t="s">
        <v>48</v>
      </c>
      <c r="B28" s="55" t="s">
        <v>43</v>
      </c>
      <c r="C28" s="54">
        <v>56728.415699999998</v>
      </c>
      <c r="D28" s="54">
        <v>5.3E-3</v>
      </c>
      <c r="E28">
        <f t="shared" si="0"/>
        <v>11057.958070670198</v>
      </c>
      <c r="F28">
        <f t="shared" si="1"/>
        <v>11058</v>
      </c>
      <c r="G28">
        <f t="shared" si="2"/>
        <v>-2.0220000005792826E-2</v>
      </c>
      <c r="J28">
        <f>+G28</f>
        <v>-2.0220000005792826E-2</v>
      </c>
      <c r="O28">
        <f t="shared" ca="1" si="3"/>
        <v>-2.0286072552117035E-2</v>
      </c>
      <c r="Q28" s="2">
        <f t="shared" si="4"/>
        <v>41709.915699999998</v>
      </c>
    </row>
    <row r="29" spans="1:21" x14ac:dyDescent="0.2">
      <c r="A29" s="53" t="s">
        <v>104</v>
      </c>
      <c r="B29" s="56"/>
      <c r="C29" s="53">
        <v>57097.570399999997</v>
      </c>
      <c r="D29" s="53">
        <v>5.7999999999999996E-3</v>
      </c>
      <c r="E29">
        <f t="shared" si="0"/>
        <v>11823.458029197072</v>
      </c>
      <c r="F29">
        <f t="shared" si="1"/>
        <v>11823.5</v>
      </c>
      <c r="G29">
        <f t="shared" si="2"/>
        <v>-2.0240000005287584E-2</v>
      </c>
      <c r="J29">
        <f>+G29</f>
        <v>-2.0240000005287584E-2</v>
      </c>
      <c r="O29">
        <f t="shared" ca="1" si="3"/>
        <v>-2.1162647911752944E-2</v>
      </c>
      <c r="Q29" s="2">
        <f t="shared" si="4"/>
        <v>42079.070399999997</v>
      </c>
    </row>
    <row r="30" spans="1:21" x14ac:dyDescent="0.2">
      <c r="A30" s="53" t="s">
        <v>104</v>
      </c>
      <c r="B30" s="56"/>
      <c r="C30" s="53">
        <v>57100.462699999996</v>
      </c>
      <c r="D30" s="53">
        <v>1.15E-2</v>
      </c>
      <c r="E30">
        <f t="shared" si="0"/>
        <v>11829.455665228923</v>
      </c>
      <c r="F30">
        <f t="shared" si="1"/>
        <v>11829.5</v>
      </c>
      <c r="G30">
        <f t="shared" si="2"/>
        <v>-2.1380000005592592E-2</v>
      </c>
      <c r="J30">
        <f>+G30</f>
        <v>-2.1380000005592592E-2</v>
      </c>
      <c r="O30">
        <f t="shared" ca="1" si="3"/>
        <v>-2.1169518522017889E-2</v>
      </c>
      <c r="Q30" s="2">
        <f t="shared" si="4"/>
        <v>42081.962699999996</v>
      </c>
    </row>
    <row r="31" spans="1:21" x14ac:dyDescent="0.2">
      <c r="A31" s="57" t="s">
        <v>107</v>
      </c>
      <c r="B31" s="58" t="s">
        <v>43</v>
      </c>
      <c r="C31" s="53">
        <v>57166.284</v>
      </c>
      <c r="D31" s="53">
        <v>1E-4</v>
      </c>
      <c r="E31">
        <f t="shared" si="0"/>
        <v>11965.946416721961</v>
      </c>
      <c r="F31">
        <f t="shared" si="1"/>
        <v>11966</v>
      </c>
      <c r="G31">
        <f t="shared" si="2"/>
        <v>-2.584000000206288E-2</v>
      </c>
      <c r="K31">
        <f>+G31</f>
        <v>-2.584000000206288E-2</v>
      </c>
      <c r="O31">
        <f t="shared" ca="1" si="3"/>
        <v>-2.1325824905545389E-2</v>
      </c>
      <c r="Q31" s="2">
        <f t="shared" si="4"/>
        <v>42147.784</v>
      </c>
    </row>
    <row r="32" spans="1:21" x14ac:dyDescent="0.2">
      <c r="A32" s="59" t="s">
        <v>105</v>
      </c>
      <c r="B32" s="60" t="s">
        <v>43</v>
      </c>
      <c r="C32" s="61">
        <v>57218.379350000003</v>
      </c>
      <c r="D32" s="61">
        <v>5.9999999999999995E-4</v>
      </c>
      <c r="E32">
        <f t="shared" si="0"/>
        <v>12073.974265925684</v>
      </c>
      <c r="F32">
        <f t="shared" si="1"/>
        <v>12074</v>
      </c>
      <c r="O32">
        <f t="shared" ca="1" si="3"/>
        <v>-2.1449495890314401E-2</v>
      </c>
      <c r="Q32" s="2">
        <f t="shared" si="4"/>
        <v>42199.879350000003</v>
      </c>
      <c r="U32">
        <f>+C32-(C$7+F32*C$8)</f>
        <v>-1.2409999995725229E-2</v>
      </c>
    </row>
    <row r="33" spans="1:17" x14ac:dyDescent="0.2">
      <c r="A33" s="59" t="s">
        <v>105</v>
      </c>
      <c r="B33" s="60" t="s">
        <v>43</v>
      </c>
      <c r="C33" s="61">
        <v>57470.581700000002</v>
      </c>
      <c r="D33" s="61">
        <v>8.9999999999999998E-4</v>
      </c>
      <c r="E33">
        <f t="shared" si="0"/>
        <v>12596.95525049768</v>
      </c>
      <c r="F33">
        <f t="shared" si="1"/>
        <v>12597</v>
      </c>
      <c r="G33">
        <f t="shared" ref="G33:G44" si="5">+C33-(C$7+F33*C$8)</f>
        <v>-2.1580000000540167E-2</v>
      </c>
      <c r="K33">
        <f t="shared" ref="K33:K44" si="6">+G33</f>
        <v>-2.1580000000540167E-2</v>
      </c>
      <c r="O33">
        <f t="shared" ca="1" si="3"/>
        <v>-2.2048384085075447E-2</v>
      </c>
      <c r="Q33" s="2">
        <f t="shared" si="4"/>
        <v>42452.081700000002</v>
      </c>
    </row>
    <row r="34" spans="1:17" x14ac:dyDescent="0.2">
      <c r="A34" s="62" t="s">
        <v>1</v>
      </c>
      <c r="B34" s="63" t="s">
        <v>43</v>
      </c>
      <c r="C34" s="64">
        <v>57489.388700000003</v>
      </c>
      <c r="D34" s="64">
        <v>2.5999999999999999E-3</v>
      </c>
      <c r="E34">
        <f t="shared" si="0"/>
        <v>12635.954503981424</v>
      </c>
      <c r="F34">
        <f t="shared" si="1"/>
        <v>12636</v>
      </c>
      <c r="G34">
        <f t="shared" si="5"/>
        <v>-2.193999999872176E-2</v>
      </c>
      <c r="K34">
        <f t="shared" si="6"/>
        <v>-2.193999999872176E-2</v>
      </c>
      <c r="O34">
        <f t="shared" ca="1" si="3"/>
        <v>-2.209304305179759E-2</v>
      </c>
      <c r="Q34" s="2">
        <f t="shared" si="4"/>
        <v>42470.888700000003</v>
      </c>
    </row>
    <row r="35" spans="1:17" x14ac:dyDescent="0.2">
      <c r="A35" s="52" t="s">
        <v>108</v>
      </c>
      <c r="B35" s="56" t="s">
        <v>43</v>
      </c>
      <c r="C35" s="65">
        <v>57778.2497</v>
      </c>
      <c r="D35" s="66" t="s">
        <v>59</v>
      </c>
      <c r="E35">
        <f t="shared" si="0"/>
        <v>13234.952928002653</v>
      </c>
      <c r="F35">
        <f t="shared" si="1"/>
        <v>13235</v>
      </c>
      <c r="G35">
        <f t="shared" si="5"/>
        <v>-2.2700000001350418E-2</v>
      </c>
      <c r="K35">
        <f t="shared" si="6"/>
        <v>-2.2700000001350418E-2</v>
      </c>
      <c r="O35">
        <f t="shared" ca="1" si="3"/>
        <v>-2.2778958976581276E-2</v>
      </c>
      <c r="Q35" s="2">
        <f t="shared" si="4"/>
        <v>42759.7497</v>
      </c>
    </row>
    <row r="36" spans="1:17" x14ac:dyDescent="0.2">
      <c r="A36" s="67" t="s">
        <v>0</v>
      </c>
      <c r="B36" s="68" t="s">
        <v>43</v>
      </c>
      <c r="C36" s="69">
        <v>57838.5311</v>
      </c>
      <c r="D36" s="69">
        <v>8.0000000000000004E-4</v>
      </c>
      <c r="E36">
        <f t="shared" si="0"/>
        <v>13359.955831121431</v>
      </c>
      <c r="F36">
        <f t="shared" si="1"/>
        <v>13360</v>
      </c>
      <c r="G36">
        <f t="shared" si="5"/>
        <v>-2.1300000000337604E-2</v>
      </c>
      <c r="K36">
        <f t="shared" si="6"/>
        <v>-2.1300000000337604E-2</v>
      </c>
      <c r="O36">
        <f t="shared" ca="1" si="3"/>
        <v>-2.2922096690434296E-2</v>
      </c>
      <c r="Q36" s="2">
        <f t="shared" si="4"/>
        <v>42820.0311</v>
      </c>
    </row>
    <row r="37" spans="1:17" x14ac:dyDescent="0.2">
      <c r="A37" s="73" t="s">
        <v>113</v>
      </c>
      <c r="B37" s="74" t="s">
        <v>43</v>
      </c>
      <c r="C37" s="75">
        <v>57907.490950000007</v>
      </c>
      <c r="D37" s="75">
        <v>2.0000000000000001E-4</v>
      </c>
      <c r="E37">
        <f t="shared" si="0"/>
        <v>13502.954856502998</v>
      </c>
      <c r="F37">
        <f t="shared" si="1"/>
        <v>13503</v>
      </c>
      <c r="G37">
        <f t="shared" si="5"/>
        <v>-2.1769999992102385E-2</v>
      </c>
      <c r="K37">
        <f t="shared" si="6"/>
        <v>-2.1769999992102385E-2</v>
      </c>
      <c r="O37">
        <f t="shared" ca="1" si="3"/>
        <v>-2.3085846235082155E-2</v>
      </c>
      <c r="Q37" s="2">
        <f t="shared" si="4"/>
        <v>42888.990950000007</v>
      </c>
    </row>
    <row r="38" spans="1:17" x14ac:dyDescent="0.2">
      <c r="A38" s="50" t="s">
        <v>109</v>
      </c>
      <c r="B38" s="52"/>
      <c r="C38" s="53">
        <v>58167.891100000001</v>
      </c>
      <c r="D38" s="53">
        <v>2.0000000000000001E-4</v>
      </c>
      <c r="E38">
        <f t="shared" si="0"/>
        <v>14042.935260451228</v>
      </c>
      <c r="F38">
        <f t="shared" si="1"/>
        <v>14043</v>
      </c>
      <c r="G38">
        <f t="shared" si="5"/>
        <v>-3.1219999997119885E-2</v>
      </c>
      <c r="K38">
        <f t="shared" si="6"/>
        <v>-3.1219999997119885E-2</v>
      </c>
      <c r="O38">
        <f t="shared" ca="1" si="3"/>
        <v>-2.3704201158927213E-2</v>
      </c>
      <c r="Q38" s="2">
        <f t="shared" si="4"/>
        <v>43149.391100000001</v>
      </c>
    </row>
    <row r="39" spans="1:17" x14ac:dyDescent="0.2">
      <c r="A39" s="12" t="s">
        <v>117</v>
      </c>
      <c r="B39" s="52"/>
      <c r="C39" s="53">
        <v>58541.874900000003</v>
      </c>
      <c r="D39" s="53">
        <v>2.0000000000000001E-4</v>
      </c>
      <c r="E39">
        <f t="shared" si="0"/>
        <v>14818.44911247512</v>
      </c>
      <c r="F39">
        <f t="shared" si="1"/>
        <v>14818.5</v>
      </c>
      <c r="G39">
        <f t="shared" si="5"/>
        <v>-2.4539999998523854E-2</v>
      </c>
      <c r="K39">
        <f t="shared" si="6"/>
        <v>-2.4539999998523854E-2</v>
      </c>
      <c r="O39">
        <f t="shared" ca="1" si="3"/>
        <v>-2.4592227535671366E-2</v>
      </c>
      <c r="Q39" s="2">
        <f t="shared" si="4"/>
        <v>43523.374900000003</v>
      </c>
    </row>
    <row r="40" spans="1:17" x14ac:dyDescent="0.2">
      <c r="A40" s="70" t="s">
        <v>111</v>
      </c>
      <c r="B40" s="71" t="s">
        <v>112</v>
      </c>
      <c r="C40" s="72">
        <v>58579.499689999997</v>
      </c>
      <c r="D40" s="72">
        <v>6.0000000000000002E-5</v>
      </c>
      <c r="E40">
        <f t="shared" si="0"/>
        <v>14896.469994193754</v>
      </c>
      <c r="F40">
        <f t="shared" si="1"/>
        <v>14896.5</v>
      </c>
      <c r="G40">
        <f t="shared" si="5"/>
        <v>-1.4470000001892913E-2</v>
      </c>
      <c r="K40">
        <f t="shared" si="6"/>
        <v>-1.4470000001892913E-2</v>
      </c>
      <c r="O40">
        <f t="shared" ca="1" si="3"/>
        <v>-2.4681545469115652E-2</v>
      </c>
      <c r="Q40" s="2">
        <f t="shared" si="4"/>
        <v>43560.999689999997</v>
      </c>
    </row>
    <row r="41" spans="1:17" x14ac:dyDescent="0.2">
      <c r="A41" s="50" t="s">
        <v>110</v>
      </c>
      <c r="B41" s="52"/>
      <c r="C41" s="53">
        <v>58978.782800000001</v>
      </c>
      <c r="D41" s="53">
        <v>5.0000000000000001E-4</v>
      </c>
      <c r="E41">
        <f t="shared" si="0"/>
        <v>15724.44591904446</v>
      </c>
      <c r="F41">
        <f t="shared" si="1"/>
        <v>15724.5</v>
      </c>
      <c r="G41">
        <f t="shared" si="5"/>
        <v>-2.6080000003275927E-2</v>
      </c>
      <c r="K41">
        <f t="shared" si="6"/>
        <v>-2.6080000003275927E-2</v>
      </c>
      <c r="O41">
        <f t="shared" ca="1" si="3"/>
        <v>-2.5629689685678074E-2</v>
      </c>
      <c r="Q41" s="2">
        <f t="shared" si="4"/>
        <v>43960.282800000001</v>
      </c>
    </row>
    <row r="42" spans="1:17" x14ac:dyDescent="0.2">
      <c r="A42" s="76" t="s">
        <v>114</v>
      </c>
      <c r="B42" s="77" t="s">
        <v>43</v>
      </c>
      <c r="C42" s="78">
        <v>59279.459999999963</v>
      </c>
      <c r="D42" s="79">
        <v>1E-3</v>
      </c>
      <c r="E42">
        <f t="shared" si="0"/>
        <v>16347.947080291891</v>
      </c>
      <c r="F42">
        <f t="shared" si="1"/>
        <v>16348</v>
      </c>
      <c r="G42">
        <f t="shared" si="5"/>
        <v>-2.552000003925059E-2</v>
      </c>
      <c r="K42">
        <f t="shared" si="6"/>
        <v>-2.552000003925059E-2</v>
      </c>
      <c r="O42">
        <f t="shared" ca="1" si="3"/>
        <v>-2.6343660602376948E-2</v>
      </c>
      <c r="Q42" s="2">
        <f t="shared" si="4"/>
        <v>44260.959999999963</v>
      </c>
    </row>
    <row r="43" spans="1:17" x14ac:dyDescent="0.2">
      <c r="A43" s="76" t="s">
        <v>115</v>
      </c>
      <c r="B43" s="77" t="s">
        <v>43</v>
      </c>
      <c r="C43" s="78">
        <v>59330.576800000003</v>
      </c>
      <c r="D43" s="79">
        <v>2.2000000000000001E-3</v>
      </c>
      <c r="E43">
        <f t="shared" si="0"/>
        <v>16453.945753151962</v>
      </c>
      <c r="F43">
        <f t="shared" si="1"/>
        <v>16454</v>
      </c>
      <c r="G43">
        <f t="shared" si="5"/>
        <v>-2.6160000001254957E-2</v>
      </c>
      <c r="K43">
        <f t="shared" si="6"/>
        <v>-2.6160000001254957E-2</v>
      </c>
      <c r="O43">
        <f t="shared" ca="1" si="3"/>
        <v>-2.6465041383724314E-2</v>
      </c>
      <c r="Q43" s="2">
        <f t="shared" si="4"/>
        <v>44312.076800000003</v>
      </c>
    </row>
    <row r="44" spans="1:17" x14ac:dyDescent="0.2">
      <c r="A44" s="76" t="s">
        <v>116</v>
      </c>
      <c r="B44" s="77" t="s">
        <v>112</v>
      </c>
      <c r="C44" s="78">
        <v>59661.3894</v>
      </c>
      <c r="D44" s="79">
        <v>5.9999999999999995E-4</v>
      </c>
      <c r="E44">
        <f t="shared" si="0"/>
        <v>17139.937375580623</v>
      </c>
      <c r="F44">
        <f t="shared" si="1"/>
        <v>17140</v>
      </c>
      <c r="G44">
        <f t="shared" si="5"/>
        <v>-3.0200000001059379E-2</v>
      </c>
      <c r="K44">
        <f t="shared" si="6"/>
        <v>-3.0200000001059379E-2</v>
      </c>
      <c r="O44">
        <f t="shared" ca="1" si="3"/>
        <v>-2.7250581157349702E-2</v>
      </c>
      <c r="Q44" s="2">
        <f t="shared" si="4"/>
        <v>44642.8894</v>
      </c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</sheetData>
  <protectedRanges>
    <protectedRange sqref="A39:D40" name="Range1"/>
  </protectedRanges>
  <sortState xmlns:xlrd2="http://schemas.microsoft.com/office/spreadsheetml/2017/richdata2" ref="A21:V44">
    <sortCondition ref="C21:C44"/>
  </sortState>
  <phoneticPr fontId="8" type="noConversion"/>
  <hyperlinks>
    <hyperlink ref="H2820" r:id="rId1" display="http://vsolj.cetus-net.org/bulletin.html" xr:uid="{00000000-0004-0000-0000-000000000000}"/>
    <hyperlink ref="H64690" r:id="rId2" display="http://vsolj.cetus-net.org/bulletin.html" xr:uid="{00000000-0004-0000-0000-000001000000}"/>
    <hyperlink ref="H64683" r:id="rId3" display="https://www.aavso.org/ejaavso" xr:uid="{00000000-0004-0000-0000-000002000000}"/>
    <hyperlink ref="AP1541" r:id="rId4" display="http://cdsbib.u-strasbg.fr/cgi-bin/cdsbib?1990RMxAA..21..381G" xr:uid="{00000000-0004-0000-0000-000003000000}"/>
    <hyperlink ref="AP1538" r:id="rId5" display="http://cdsbib.u-strasbg.fr/cgi-bin/cdsbib?1990RMxAA..21..381G" xr:uid="{00000000-0004-0000-0000-000004000000}"/>
    <hyperlink ref="AP1540" r:id="rId6" display="http://cdsbib.u-strasbg.fr/cgi-bin/cdsbib?1990RMxAA..21..381G" xr:uid="{00000000-0004-0000-0000-000005000000}"/>
    <hyperlink ref="AP1516" r:id="rId7" display="http://cdsbib.u-strasbg.fr/cgi-bin/cdsbib?1990RMxAA..21..381G" xr:uid="{00000000-0004-0000-0000-000006000000}"/>
    <hyperlink ref="I64690" r:id="rId8" display="http://vsolj.cetus-net.org/bulletin.html" xr:uid="{00000000-0004-0000-0000-000007000000}"/>
    <hyperlink ref="AQ1677" r:id="rId9" display="http://cdsbib.u-strasbg.fr/cgi-bin/cdsbib?1990RMxAA..21..381G" xr:uid="{00000000-0004-0000-0000-000008000000}"/>
    <hyperlink ref="AQ3321" r:id="rId10" display="http://cdsbib.u-strasbg.fr/cgi-bin/cdsbib?1990RMxAA..21..381G" xr:uid="{00000000-0004-0000-0000-000009000000}"/>
    <hyperlink ref="AQ1678" r:id="rId11" display="http://cdsbib.u-strasbg.fr/cgi-bin/cdsbib?1990RMxAA..21..381G" xr:uid="{00000000-0004-0000-0000-00000A000000}"/>
    <hyperlink ref="H64687" r:id="rId12" display="https://www.aavso.org/ejaavso" xr:uid="{00000000-0004-0000-0000-00000B000000}"/>
    <hyperlink ref="H2528" r:id="rId13" display="http://vsolj.cetus-net.org/bulletin.html" xr:uid="{00000000-0004-0000-0000-00000C000000}"/>
    <hyperlink ref="AP5766" r:id="rId14" display="http://cdsbib.u-strasbg.fr/cgi-bin/cdsbib?1990RMxAA..21..381G" xr:uid="{00000000-0004-0000-0000-00000D000000}"/>
    <hyperlink ref="AP5769" r:id="rId15" display="http://cdsbib.u-strasbg.fr/cgi-bin/cdsbib?1990RMxAA..21..381G" xr:uid="{00000000-0004-0000-0000-00000E000000}"/>
    <hyperlink ref="AP5767" r:id="rId16" display="http://cdsbib.u-strasbg.fr/cgi-bin/cdsbib?1990RMxAA..21..381G" xr:uid="{00000000-0004-0000-0000-00000F000000}"/>
    <hyperlink ref="AP5745" r:id="rId17" display="http://cdsbib.u-strasbg.fr/cgi-bin/cdsbib?1990RMxAA..21..381G" xr:uid="{00000000-0004-0000-0000-000010000000}"/>
    <hyperlink ref="I2528" r:id="rId18" display="http://vsolj.cetus-net.org/bulletin.html" xr:uid="{00000000-0004-0000-0000-000011000000}"/>
    <hyperlink ref="AQ5879" r:id="rId19" display="http://cdsbib.u-strasbg.fr/cgi-bin/cdsbib?1990RMxAA..21..381G" xr:uid="{00000000-0004-0000-0000-000012000000}"/>
    <hyperlink ref="AQ431" r:id="rId20" display="http://cdsbib.u-strasbg.fr/cgi-bin/cdsbib?1990RMxAA..21..381G" xr:uid="{00000000-0004-0000-0000-000013000000}"/>
    <hyperlink ref="AQ5880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16"/>
  <sheetViews>
    <sheetView workbookViewId="0">
      <selection activeCell="A17" sqref="A17:D18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4" t="s">
        <v>50</v>
      </c>
      <c r="I1" s="35" t="s">
        <v>51</v>
      </c>
      <c r="J1" s="36" t="s">
        <v>52</v>
      </c>
    </row>
    <row r="2" spans="1:16" x14ac:dyDescent="0.2">
      <c r="I2" s="37" t="s">
        <v>53</v>
      </c>
      <c r="J2" s="38" t="s">
        <v>54</v>
      </c>
    </row>
    <row r="3" spans="1:16" x14ac:dyDescent="0.2">
      <c r="A3" s="39" t="s">
        <v>55</v>
      </c>
      <c r="I3" s="37" t="s">
        <v>56</v>
      </c>
      <c r="J3" s="38" t="s">
        <v>57</v>
      </c>
    </row>
    <row r="4" spans="1:16" x14ac:dyDescent="0.2">
      <c r="I4" s="37" t="s">
        <v>58</v>
      </c>
      <c r="J4" s="38" t="s">
        <v>57</v>
      </c>
    </row>
    <row r="5" spans="1:16" ht="13.5" thickBot="1" x14ac:dyDescent="0.25">
      <c r="I5" s="40" t="s">
        <v>59</v>
      </c>
      <c r="J5" s="41" t="s">
        <v>60</v>
      </c>
    </row>
    <row r="10" spans="1:16" ht="13.5" thickBot="1" x14ac:dyDescent="0.25"/>
    <row r="11" spans="1:16" ht="12.75" customHeight="1" thickBot="1" x14ac:dyDescent="0.25">
      <c r="A11" s="8" t="str">
        <f t="shared" ref="A11:A18" si="0">P11</f>
        <v>BAVM 228 </v>
      </c>
      <c r="B11" s="3" t="str">
        <f t="shared" ref="B11:B18" si="1">IF(H11=INT(H11),"I","II")</f>
        <v>I</v>
      </c>
      <c r="C11" s="8">
        <f t="shared" ref="C11:C18" si="2">1*G11</f>
        <v>56007.472800000003</v>
      </c>
      <c r="D11" s="10" t="str">
        <f t="shared" ref="D11:D18" si="3">VLOOKUP(F11,I$1:J$5,2,FALSE)</f>
        <v>vis</v>
      </c>
      <c r="E11" s="42">
        <f>VLOOKUP(C11,Active!C$21:E$971,3,FALSE)</f>
        <v>9562.9703052422083</v>
      </c>
      <c r="F11" s="3" t="s">
        <v>59</v>
      </c>
      <c r="G11" s="10" t="str">
        <f t="shared" ref="G11:G18" si="4">MID(I11,3,LEN(I11)-3)</f>
        <v>56007.4728</v>
      </c>
      <c r="H11" s="8">
        <f t="shared" ref="H11:H18" si="5">1*K11</f>
        <v>9563</v>
      </c>
      <c r="I11" s="43" t="s">
        <v>61</v>
      </c>
      <c r="J11" s="44" t="s">
        <v>62</v>
      </c>
      <c r="K11" s="43">
        <v>9563</v>
      </c>
      <c r="L11" s="43" t="s">
        <v>63</v>
      </c>
      <c r="M11" s="44" t="s">
        <v>64</v>
      </c>
      <c r="N11" s="44" t="s">
        <v>59</v>
      </c>
      <c r="O11" s="45" t="s">
        <v>65</v>
      </c>
      <c r="P11" s="46" t="s">
        <v>66</v>
      </c>
    </row>
    <row r="12" spans="1:16" ht="12.75" customHeight="1" thickBot="1" x14ac:dyDescent="0.25">
      <c r="A12" s="8" t="str">
        <f t="shared" si="0"/>
        <v>BAVM 231 </v>
      </c>
      <c r="B12" s="3" t="str">
        <f t="shared" si="1"/>
        <v>I</v>
      </c>
      <c r="C12" s="8">
        <f t="shared" si="2"/>
        <v>56034.4755</v>
      </c>
      <c r="D12" s="10" t="str">
        <f t="shared" si="3"/>
        <v>vis</v>
      </c>
      <c r="E12" s="42">
        <f>VLOOKUP(C12,Active!C$21:E$971,3,FALSE)</f>
        <v>9618.9646234240208</v>
      </c>
      <c r="F12" s="3" t="s">
        <v>59</v>
      </c>
      <c r="G12" s="10" t="str">
        <f t="shared" si="4"/>
        <v>56034.4755</v>
      </c>
      <c r="H12" s="8">
        <f t="shared" si="5"/>
        <v>9619</v>
      </c>
      <c r="I12" s="43" t="s">
        <v>67</v>
      </c>
      <c r="J12" s="44" t="s">
        <v>68</v>
      </c>
      <c r="K12" s="43">
        <v>9619</v>
      </c>
      <c r="L12" s="43" t="s">
        <v>69</v>
      </c>
      <c r="M12" s="44" t="s">
        <v>64</v>
      </c>
      <c r="N12" s="44" t="s">
        <v>70</v>
      </c>
      <c r="O12" s="45" t="s">
        <v>71</v>
      </c>
      <c r="P12" s="46" t="s">
        <v>72</v>
      </c>
    </row>
    <row r="13" spans="1:16" ht="12.75" customHeight="1" thickBot="1" x14ac:dyDescent="0.25">
      <c r="A13" s="8" t="str">
        <f t="shared" si="0"/>
        <v>IBVS 6092 </v>
      </c>
      <c r="B13" s="3" t="str">
        <f t="shared" si="1"/>
        <v>I</v>
      </c>
      <c r="C13" s="8">
        <f t="shared" si="2"/>
        <v>56391.813600000001</v>
      </c>
      <c r="D13" s="10" t="str">
        <f t="shared" si="3"/>
        <v>vis</v>
      </c>
      <c r="E13" s="42">
        <f>VLOOKUP(C13,Active!C$21:E$971,3,FALSE)</f>
        <v>10359.961015262112</v>
      </c>
      <c r="F13" s="3" t="s">
        <v>59</v>
      </c>
      <c r="G13" s="10" t="str">
        <f t="shared" si="4"/>
        <v>56391.8136</v>
      </c>
      <c r="H13" s="8">
        <f t="shared" si="5"/>
        <v>10360</v>
      </c>
      <c r="I13" s="43" t="s">
        <v>73</v>
      </c>
      <c r="J13" s="44" t="s">
        <v>74</v>
      </c>
      <c r="K13" s="43" t="s">
        <v>75</v>
      </c>
      <c r="L13" s="43" t="s">
        <v>76</v>
      </c>
      <c r="M13" s="44" t="s">
        <v>64</v>
      </c>
      <c r="N13" s="44" t="s">
        <v>77</v>
      </c>
      <c r="O13" s="45" t="s">
        <v>78</v>
      </c>
      <c r="P13" s="46" t="s">
        <v>79</v>
      </c>
    </row>
    <row r="14" spans="1:16" ht="12.75" customHeight="1" thickBot="1" x14ac:dyDescent="0.25">
      <c r="A14" s="8" t="str">
        <f t="shared" si="0"/>
        <v>OEJV 0160 </v>
      </c>
      <c r="B14" s="3" t="str">
        <f t="shared" si="1"/>
        <v>I</v>
      </c>
      <c r="C14" s="8">
        <f t="shared" si="2"/>
        <v>56418.332470000001</v>
      </c>
      <c r="D14" s="10" t="str">
        <f t="shared" si="3"/>
        <v>vis</v>
      </c>
      <c r="E14" s="42">
        <f>VLOOKUP(C14,Active!C$21:E$971,3,FALSE)</f>
        <v>10414.952036330458</v>
      </c>
      <c r="F14" s="3" t="s">
        <v>59</v>
      </c>
      <c r="G14" s="10" t="str">
        <f t="shared" si="4"/>
        <v>56418.33247</v>
      </c>
      <c r="H14" s="8">
        <f t="shared" si="5"/>
        <v>10415</v>
      </c>
      <c r="I14" s="43" t="s">
        <v>80</v>
      </c>
      <c r="J14" s="44" t="s">
        <v>81</v>
      </c>
      <c r="K14" s="43" t="s">
        <v>82</v>
      </c>
      <c r="L14" s="43" t="s">
        <v>83</v>
      </c>
      <c r="M14" s="44" t="s">
        <v>64</v>
      </c>
      <c r="N14" s="44" t="s">
        <v>59</v>
      </c>
      <c r="O14" s="45" t="s">
        <v>84</v>
      </c>
      <c r="P14" s="46" t="s">
        <v>85</v>
      </c>
    </row>
    <row r="15" spans="1:16" ht="12.75" customHeight="1" thickBot="1" x14ac:dyDescent="0.25">
      <c r="A15" s="8" t="str">
        <f t="shared" si="0"/>
        <v>IBVS 6131 </v>
      </c>
      <c r="B15" s="3" t="str">
        <f t="shared" si="1"/>
        <v>II</v>
      </c>
      <c r="C15" s="8">
        <f t="shared" si="2"/>
        <v>56692.966200000003</v>
      </c>
      <c r="D15" s="10" t="str">
        <f t="shared" si="3"/>
        <v>vis</v>
      </c>
      <c r="E15" s="42">
        <f>VLOOKUP(C15,Active!C$21:E$971,3,FALSE)</f>
        <v>10984.447992700734</v>
      </c>
      <c r="F15" s="3" t="s">
        <v>59</v>
      </c>
      <c r="G15" s="10" t="str">
        <f t="shared" si="4"/>
        <v>56692.9662</v>
      </c>
      <c r="H15" s="8">
        <f t="shared" si="5"/>
        <v>10984.5</v>
      </c>
      <c r="I15" s="43" t="s">
        <v>86</v>
      </c>
      <c r="J15" s="44" t="s">
        <v>87</v>
      </c>
      <c r="K15" s="43" t="s">
        <v>88</v>
      </c>
      <c r="L15" s="43" t="s">
        <v>89</v>
      </c>
      <c r="M15" s="44" t="s">
        <v>64</v>
      </c>
      <c r="N15" s="44" t="s">
        <v>51</v>
      </c>
      <c r="O15" s="45" t="s">
        <v>78</v>
      </c>
      <c r="P15" s="46" t="s">
        <v>90</v>
      </c>
    </row>
    <row r="16" spans="1:16" ht="12.75" customHeight="1" thickBot="1" x14ac:dyDescent="0.25">
      <c r="A16" s="8" t="str">
        <f t="shared" si="0"/>
        <v>BAVM 238 </v>
      </c>
      <c r="B16" s="3" t="str">
        <f t="shared" si="1"/>
        <v>I</v>
      </c>
      <c r="C16" s="8">
        <f t="shared" si="2"/>
        <v>56728.415699999998</v>
      </c>
      <c r="D16" s="10" t="str">
        <f t="shared" si="3"/>
        <v>vis</v>
      </c>
      <c r="E16" s="42">
        <f>VLOOKUP(C16,Active!C$21:E$971,3,FALSE)</f>
        <v>11057.958070670198</v>
      </c>
      <c r="F16" s="3" t="s">
        <v>59</v>
      </c>
      <c r="G16" s="10" t="str">
        <f t="shared" si="4"/>
        <v>56728.4157</v>
      </c>
      <c r="H16" s="8">
        <f t="shared" si="5"/>
        <v>11058</v>
      </c>
      <c r="I16" s="43" t="s">
        <v>91</v>
      </c>
      <c r="J16" s="44" t="s">
        <v>92</v>
      </c>
      <c r="K16" s="43" t="s">
        <v>93</v>
      </c>
      <c r="L16" s="43" t="s">
        <v>94</v>
      </c>
      <c r="M16" s="44" t="s">
        <v>64</v>
      </c>
      <c r="N16" s="44" t="s">
        <v>59</v>
      </c>
      <c r="O16" s="45" t="s">
        <v>65</v>
      </c>
      <c r="P16" s="46" t="s">
        <v>95</v>
      </c>
    </row>
    <row r="17" spans="1:16" ht="12.75" customHeight="1" thickBot="1" x14ac:dyDescent="0.25">
      <c r="A17" s="8" t="str">
        <f t="shared" si="0"/>
        <v>BAVM 241 (=IBVS 6157) </v>
      </c>
      <c r="B17" s="3" t="str">
        <f t="shared" si="1"/>
        <v>II</v>
      </c>
      <c r="C17" s="8">
        <f t="shared" si="2"/>
        <v>57097.570399999997</v>
      </c>
      <c r="D17" s="10" t="str">
        <f t="shared" si="3"/>
        <v>vis</v>
      </c>
      <c r="E17" s="42">
        <f>VLOOKUP(C17,Active!C$21:E$971,3,FALSE)</f>
        <v>11823.458029197072</v>
      </c>
      <c r="F17" s="3" t="s">
        <v>59</v>
      </c>
      <c r="G17" s="10" t="str">
        <f t="shared" si="4"/>
        <v>57097.5704</v>
      </c>
      <c r="H17" s="8">
        <f t="shared" si="5"/>
        <v>11823.5</v>
      </c>
      <c r="I17" s="43" t="s">
        <v>96</v>
      </c>
      <c r="J17" s="44" t="s">
        <v>97</v>
      </c>
      <c r="K17" s="43" t="s">
        <v>98</v>
      </c>
      <c r="L17" s="43" t="s">
        <v>94</v>
      </c>
      <c r="M17" s="44" t="s">
        <v>64</v>
      </c>
      <c r="N17" s="44" t="s">
        <v>70</v>
      </c>
      <c r="O17" s="45" t="s">
        <v>65</v>
      </c>
      <c r="P17" s="46" t="s">
        <v>99</v>
      </c>
    </row>
    <row r="18" spans="1:16" ht="12.75" customHeight="1" thickBot="1" x14ac:dyDescent="0.25">
      <c r="A18" s="8" t="str">
        <f t="shared" si="0"/>
        <v>BAVM 241 (=IBVS 6157) </v>
      </c>
      <c r="B18" s="3" t="str">
        <f t="shared" si="1"/>
        <v>II</v>
      </c>
      <c r="C18" s="8">
        <f t="shared" si="2"/>
        <v>57100.462699999996</v>
      </c>
      <c r="D18" s="10" t="str">
        <f t="shared" si="3"/>
        <v>vis</v>
      </c>
      <c r="E18" s="42">
        <f>VLOOKUP(C18,Active!C$21:E$971,3,FALSE)</f>
        <v>11829.455665228923</v>
      </c>
      <c r="F18" s="3" t="s">
        <v>59</v>
      </c>
      <c r="G18" s="10" t="str">
        <f t="shared" si="4"/>
        <v>57100.4627</v>
      </c>
      <c r="H18" s="8">
        <f t="shared" si="5"/>
        <v>11829.5</v>
      </c>
      <c r="I18" s="43" t="s">
        <v>100</v>
      </c>
      <c r="J18" s="44" t="s">
        <v>101</v>
      </c>
      <c r="K18" s="43" t="s">
        <v>102</v>
      </c>
      <c r="L18" s="43" t="s">
        <v>103</v>
      </c>
      <c r="M18" s="44" t="s">
        <v>64</v>
      </c>
      <c r="N18" s="44" t="s">
        <v>70</v>
      </c>
      <c r="O18" s="45" t="s">
        <v>65</v>
      </c>
      <c r="P18" s="46" t="s">
        <v>99</v>
      </c>
    </row>
    <row r="19" spans="1:16" x14ac:dyDescent="0.2">
      <c r="B19" s="3"/>
      <c r="E19" s="42"/>
      <c r="F19" s="3"/>
    </row>
    <row r="20" spans="1:16" x14ac:dyDescent="0.2">
      <c r="B20" s="3"/>
      <c r="E20" s="42"/>
      <c r="F20" s="3"/>
    </row>
    <row r="21" spans="1:16" x14ac:dyDescent="0.2">
      <c r="B21" s="3"/>
      <c r="E21" s="42"/>
      <c r="F21" s="3"/>
    </row>
    <row r="22" spans="1:16" x14ac:dyDescent="0.2">
      <c r="B22" s="3"/>
      <c r="E22" s="42"/>
      <c r="F22" s="3"/>
    </row>
    <row r="23" spans="1:16" x14ac:dyDescent="0.2">
      <c r="B23" s="3"/>
      <c r="E23" s="42"/>
      <c r="F23" s="3"/>
    </row>
    <row r="24" spans="1:16" x14ac:dyDescent="0.2">
      <c r="B24" s="3"/>
      <c r="E24" s="42"/>
      <c r="F24" s="3"/>
    </row>
    <row r="25" spans="1:16" x14ac:dyDescent="0.2">
      <c r="B25" s="3"/>
      <c r="E25" s="42"/>
      <c r="F25" s="3"/>
    </row>
    <row r="26" spans="1:16" x14ac:dyDescent="0.2">
      <c r="B26" s="3"/>
      <c r="E26" s="42"/>
      <c r="F26" s="3"/>
    </row>
    <row r="27" spans="1:16" x14ac:dyDescent="0.2">
      <c r="B27" s="3"/>
      <c r="E27" s="42"/>
      <c r="F27" s="3"/>
    </row>
    <row r="28" spans="1:16" x14ac:dyDescent="0.2">
      <c r="B28" s="3"/>
      <c r="E28" s="42"/>
      <c r="F28" s="3"/>
    </row>
    <row r="29" spans="1:16" x14ac:dyDescent="0.2">
      <c r="B29" s="3"/>
      <c r="F29" s="3"/>
    </row>
    <row r="30" spans="1:16" x14ac:dyDescent="0.2">
      <c r="B30" s="3"/>
      <c r="F30" s="3"/>
    </row>
    <row r="31" spans="1:16" x14ac:dyDescent="0.2">
      <c r="B31" s="3"/>
      <c r="F31" s="3"/>
    </row>
    <row r="32" spans="1:16" x14ac:dyDescent="0.2">
      <c r="B32" s="3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</sheetData>
  <phoneticPr fontId="8" type="noConversion"/>
  <hyperlinks>
    <hyperlink ref="A3" r:id="rId1" xr:uid="{00000000-0004-0000-0100-000000000000}"/>
    <hyperlink ref="P11" r:id="rId2" display="http://www.bav-astro.de/sfs/BAVM_link.php?BAVMnr=228" xr:uid="{00000000-0004-0000-0100-000001000000}"/>
    <hyperlink ref="P12" r:id="rId3" display="http://www.bav-astro.de/sfs/BAVM_link.php?BAVMnr=231" xr:uid="{00000000-0004-0000-0100-000002000000}"/>
    <hyperlink ref="P13" r:id="rId4" display="http://www.konkoly.hu/cgi-bin/IBVS?6092" xr:uid="{00000000-0004-0000-0100-000003000000}"/>
    <hyperlink ref="P14" r:id="rId5" display="http://var.astro.cz/oejv/issues/oejv0160.pdf" xr:uid="{00000000-0004-0000-0100-000004000000}"/>
    <hyperlink ref="P15" r:id="rId6" display="http://www.konkoly.hu/cgi-bin/IBVS?6131" xr:uid="{00000000-0004-0000-0100-000005000000}"/>
    <hyperlink ref="P16" r:id="rId7" display="http://www.bav-astro.de/sfs/BAVM_link.php?BAVMnr=238" xr:uid="{00000000-0004-0000-0100-000006000000}"/>
    <hyperlink ref="P17" r:id="rId8" display="http://www.bav-astro.de/sfs/BAVM_link.php?BAVMnr=241" xr:uid="{00000000-0004-0000-0100-000007000000}"/>
    <hyperlink ref="P18" r:id="rId9" display="http://www.bav-astro.de/sfs/BAVM_link.php?BAVMnr=241" xr:uid="{00000000-0004-0000-0100-000008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2024-01-15T05:04:14Z</dcterms:modified>
</cp:coreProperties>
</file>