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2407162-7ED8-4437-8811-7294DD5BC8AB}" xr6:coauthVersionLast="47" xr6:coauthVersionMax="47" xr10:uidLastSave="{00000000-0000-0000-0000-000000000000}"/>
  <bookViews>
    <workbookView xWindow="14235" yWindow="165" windowWidth="13470" windowHeight="14565" xr2:uid="{00000000-000D-0000-FFFF-FFFF00000000}"/>
  </bookViews>
  <sheets>
    <sheet name="Active" sheetId="1" r:id="rId1"/>
    <sheet name="A (3)" sheetId="3" r:id="rId2"/>
    <sheet name="A (2)" sheetId="2" r:id="rId3"/>
  </sheets>
  <calcPr calcId="181029"/>
</workbook>
</file>

<file path=xl/calcChain.xml><?xml version="1.0" encoding="utf-8"?>
<calcChain xmlns="http://schemas.openxmlformats.org/spreadsheetml/2006/main">
  <c r="E49" i="1" l="1"/>
  <c r="F49" i="1" s="1"/>
  <c r="G49" i="1" s="1"/>
  <c r="K49" i="1" s="1"/>
  <c r="Q49" i="1"/>
  <c r="E50" i="1"/>
  <c r="F50" i="1" s="1"/>
  <c r="G50" i="1" s="1"/>
  <c r="K50" i="1" s="1"/>
  <c r="Q50" i="1"/>
  <c r="E46" i="1"/>
  <c r="F46" i="1" s="1"/>
  <c r="G46" i="1" s="1"/>
  <c r="K46" i="1" s="1"/>
  <c r="Q46" i="1"/>
  <c r="E48" i="1"/>
  <c r="F48" i="1" s="1"/>
  <c r="G48" i="1" s="1"/>
  <c r="K48" i="1" s="1"/>
  <c r="Q48" i="1"/>
  <c r="E47" i="1"/>
  <c r="F47" i="1" s="1"/>
  <c r="G47" i="1" s="1"/>
  <c r="K47" i="1" s="1"/>
  <c r="Q47" i="1"/>
  <c r="Q43" i="1"/>
  <c r="Q45" i="1"/>
  <c r="Q33" i="1"/>
  <c r="Q34" i="1"/>
  <c r="Q44" i="1"/>
  <c r="Q41" i="1"/>
  <c r="Q42" i="1"/>
  <c r="Q39" i="1"/>
  <c r="Q40" i="1"/>
  <c r="F31" i="3"/>
  <c r="G31" i="3"/>
  <c r="K31" i="3"/>
  <c r="C7" i="3"/>
  <c r="C9" i="3"/>
  <c r="D9" i="3"/>
  <c r="E27" i="3"/>
  <c r="F27" i="3"/>
  <c r="G27" i="3"/>
  <c r="E28" i="3"/>
  <c r="F28" i="3"/>
  <c r="G28" i="3"/>
  <c r="E29" i="3"/>
  <c r="F29" i="3"/>
  <c r="G29" i="3"/>
  <c r="K29" i="3"/>
  <c r="E30" i="3"/>
  <c r="F30" i="3"/>
  <c r="G30" i="3"/>
  <c r="E31" i="3"/>
  <c r="E32" i="3"/>
  <c r="F32" i="3"/>
  <c r="G32" i="3"/>
  <c r="K32" i="3"/>
  <c r="E33" i="3"/>
  <c r="F33" i="3"/>
  <c r="G33" i="3"/>
  <c r="K33" i="3"/>
  <c r="E34" i="3"/>
  <c r="F34" i="3"/>
  <c r="G34" i="3"/>
  <c r="K34" i="3"/>
  <c r="E35" i="3"/>
  <c r="F35" i="3"/>
  <c r="G35" i="3"/>
  <c r="K35" i="3"/>
  <c r="E36" i="3"/>
  <c r="F36" i="3"/>
  <c r="G36" i="3"/>
  <c r="K36" i="3"/>
  <c r="E21" i="3"/>
  <c r="F21" i="3"/>
  <c r="U21" i="3"/>
  <c r="K21" i="3"/>
  <c r="E22" i="3"/>
  <c r="F22" i="3"/>
  <c r="E23" i="3"/>
  <c r="F23" i="3"/>
  <c r="U23" i="3"/>
  <c r="K23" i="3"/>
  <c r="E24" i="3"/>
  <c r="F24" i="3"/>
  <c r="U24" i="3"/>
  <c r="K24" i="3"/>
  <c r="E25" i="3"/>
  <c r="F25" i="3"/>
  <c r="U25" i="3"/>
  <c r="K25" i="3"/>
  <c r="E26" i="3"/>
  <c r="F26" i="3"/>
  <c r="F16" i="3"/>
  <c r="F17" i="3" s="1"/>
  <c r="C17" i="3"/>
  <c r="Q21" i="3"/>
  <c r="U22" i="3"/>
  <c r="K22" i="3"/>
  <c r="Q22" i="3"/>
  <c r="Q23" i="3"/>
  <c r="Q24" i="3"/>
  <c r="Q25" i="3"/>
  <c r="K26" i="3"/>
  <c r="Q26" i="3"/>
  <c r="Q27" i="3"/>
  <c r="Q28" i="3"/>
  <c r="Q29" i="3"/>
  <c r="Q30" i="3"/>
  <c r="Q31" i="3"/>
  <c r="Q32" i="3"/>
  <c r="Q33" i="3"/>
  <c r="Q34" i="3"/>
  <c r="Q35" i="3"/>
  <c r="Q36" i="3"/>
  <c r="E23" i="1"/>
  <c r="F23" i="1" s="1"/>
  <c r="U23" i="1" s="1"/>
  <c r="K23" i="1" s="1"/>
  <c r="E24" i="1"/>
  <c r="F24" i="1" s="1"/>
  <c r="U24" i="1" s="1"/>
  <c r="K24" i="1" s="1"/>
  <c r="E31" i="1"/>
  <c r="F31" i="1" s="1"/>
  <c r="G31" i="1" s="1"/>
  <c r="K31" i="1" s="1"/>
  <c r="E43" i="1"/>
  <c r="F43" i="1" s="1"/>
  <c r="G43" i="1" s="1"/>
  <c r="K43" i="1" s="1"/>
  <c r="D9" i="1"/>
  <c r="C9" i="1"/>
  <c r="Q35" i="1"/>
  <c r="Q36" i="1"/>
  <c r="Q37" i="1"/>
  <c r="Q38" i="1"/>
  <c r="Q27" i="1"/>
  <c r="Q28" i="1"/>
  <c r="Q29" i="1"/>
  <c r="Q30" i="1"/>
  <c r="Q31" i="1"/>
  <c r="Q32" i="1"/>
  <c r="C7" i="2"/>
  <c r="E27" i="2"/>
  <c r="F27" i="2"/>
  <c r="E29" i="2"/>
  <c r="F29" i="2"/>
  <c r="F11" i="2"/>
  <c r="G11" i="2"/>
  <c r="Q25" i="2"/>
  <c r="Q24" i="2"/>
  <c r="Q23" i="2"/>
  <c r="Q22" i="2"/>
  <c r="Q21" i="2"/>
  <c r="Q31" i="2"/>
  <c r="E14" i="2"/>
  <c r="E15" i="2" s="1"/>
  <c r="C17" i="2"/>
  <c r="Q26" i="2"/>
  <c r="Q27" i="2"/>
  <c r="Q28" i="2"/>
  <c r="Q29" i="2"/>
  <c r="Q30" i="2"/>
  <c r="Q32" i="2"/>
  <c r="F16" i="1"/>
  <c r="F17" i="1" s="1"/>
  <c r="C17" i="1"/>
  <c r="Q22" i="1"/>
  <c r="Q23" i="1"/>
  <c r="Q26" i="1"/>
  <c r="Q25" i="1"/>
  <c r="Q24" i="1"/>
  <c r="Q21" i="1"/>
  <c r="E30" i="2"/>
  <c r="F30" i="2"/>
  <c r="E26" i="2"/>
  <c r="F26" i="2"/>
  <c r="G26" i="2"/>
  <c r="H26" i="2"/>
  <c r="E22" i="2"/>
  <c r="F22" i="2"/>
  <c r="E28" i="1"/>
  <c r="F28" i="1" s="1"/>
  <c r="G28" i="1" s="1"/>
  <c r="I28" i="1" s="1"/>
  <c r="E27" i="1"/>
  <c r="F27" i="1" s="1"/>
  <c r="G27" i="1" s="1"/>
  <c r="E32" i="2"/>
  <c r="F32" i="2"/>
  <c r="G32" i="2"/>
  <c r="I32" i="2"/>
  <c r="E28" i="2"/>
  <c r="F28" i="2"/>
  <c r="G28" i="2"/>
  <c r="J28" i="2"/>
  <c r="E25" i="2"/>
  <c r="F25" i="2"/>
  <c r="E23" i="2"/>
  <c r="F23" i="2"/>
  <c r="E21" i="2"/>
  <c r="F21" i="2"/>
  <c r="E31" i="2"/>
  <c r="F31" i="2"/>
  <c r="G31" i="2"/>
  <c r="J31" i="2"/>
  <c r="G29" i="2"/>
  <c r="I29" i="2"/>
  <c r="I28" i="3"/>
  <c r="K28" i="3"/>
  <c r="K27" i="3"/>
  <c r="I27" i="3"/>
  <c r="G27" i="2"/>
  <c r="J27" i="2"/>
  <c r="K30" i="3"/>
  <c r="I30" i="3"/>
  <c r="E40" i="1"/>
  <c r="F40" i="1" s="1"/>
  <c r="G40" i="1" s="1"/>
  <c r="K40" i="1" s="1"/>
  <c r="E32" i="1"/>
  <c r="F32" i="1" s="1"/>
  <c r="G32" i="1" s="1"/>
  <c r="K32" i="1" s="1"/>
  <c r="E37" i="1"/>
  <c r="F37" i="1" s="1"/>
  <c r="G37" i="1" s="1"/>
  <c r="K37" i="1" s="1"/>
  <c r="E33" i="1"/>
  <c r="F33" i="1" s="1"/>
  <c r="G33" i="1" s="1"/>
  <c r="K33" i="1" s="1"/>
  <c r="E42" i="1"/>
  <c r="F42" i="1" s="1"/>
  <c r="G42" i="1" s="1"/>
  <c r="K42" i="1" s="1"/>
  <c r="E44" i="1"/>
  <c r="F44" i="1" s="1"/>
  <c r="G44" i="1" s="1"/>
  <c r="K44" i="1" s="1"/>
  <c r="E26" i="1"/>
  <c r="F26" i="1"/>
  <c r="G26" i="1" s="1"/>
  <c r="K26" i="1" s="1"/>
  <c r="E22" i="1"/>
  <c r="F22" i="1" s="1"/>
  <c r="U22" i="1" s="1"/>
  <c r="K22" i="1" s="1"/>
  <c r="E36" i="1"/>
  <c r="F36" i="1" s="1"/>
  <c r="G36" i="1" s="1"/>
  <c r="K36" i="1" s="1"/>
  <c r="E39" i="1"/>
  <c r="F39" i="1" s="1"/>
  <c r="G39" i="1" s="1"/>
  <c r="K39" i="1" s="1"/>
  <c r="E30" i="1"/>
  <c r="F30" i="1"/>
  <c r="G30" i="1" s="1"/>
  <c r="K30" i="1" s="1"/>
  <c r="G30" i="2"/>
  <c r="I30" i="2"/>
  <c r="E41" i="1"/>
  <c r="F41" i="1" s="1"/>
  <c r="G41" i="1" s="1"/>
  <c r="K41" i="1" s="1"/>
  <c r="E34" i="1"/>
  <c r="F34" i="1"/>
  <c r="G34" i="1" s="1"/>
  <c r="K34" i="1" s="1"/>
  <c r="E45" i="1"/>
  <c r="F45" i="1" s="1"/>
  <c r="G45" i="1" s="1"/>
  <c r="K45" i="1" s="1"/>
  <c r="E24" i="2"/>
  <c r="F24" i="2"/>
  <c r="E29" i="1"/>
  <c r="F29" i="1" s="1"/>
  <c r="G29" i="1" s="1"/>
  <c r="K29" i="1" s="1"/>
  <c r="E25" i="1"/>
  <c r="F25" i="1" s="1"/>
  <c r="U25" i="1" s="1"/>
  <c r="K25" i="1" s="1"/>
  <c r="E38" i="1"/>
  <c r="F38" i="1" s="1"/>
  <c r="G38" i="1" s="1"/>
  <c r="K38" i="1" s="1"/>
  <c r="E21" i="1"/>
  <c r="F21" i="1" s="1"/>
  <c r="U21" i="1" s="1"/>
  <c r="K21" i="1" s="1"/>
  <c r="E35" i="1"/>
  <c r="F35" i="1" s="1"/>
  <c r="G35" i="1" s="1"/>
  <c r="K35" i="1" s="1"/>
  <c r="C11" i="1"/>
  <c r="C11" i="2"/>
  <c r="C11" i="3"/>
  <c r="C12" i="1"/>
  <c r="C12" i="3"/>
  <c r="O49" i="1" l="1"/>
  <c r="O50" i="1"/>
  <c r="K27" i="1"/>
  <c r="I27" i="1"/>
  <c r="K28" i="1"/>
  <c r="I30" i="1"/>
  <c r="O48" i="1"/>
  <c r="O46" i="1"/>
  <c r="O21" i="3"/>
  <c r="O25" i="3"/>
  <c r="O34" i="3"/>
  <c r="O27" i="3"/>
  <c r="O28" i="3"/>
  <c r="O32" i="3"/>
  <c r="O23" i="3"/>
  <c r="O26" i="3"/>
  <c r="O36" i="3"/>
  <c r="C15" i="3"/>
  <c r="O24" i="3"/>
  <c r="O35" i="3"/>
  <c r="O29" i="3"/>
  <c r="O33" i="3"/>
  <c r="O22" i="3"/>
  <c r="O31" i="3"/>
  <c r="O30" i="3"/>
  <c r="C16" i="3"/>
  <c r="D18" i="3" s="1"/>
  <c r="O36" i="1"/>
  <c r="C15" i="1"/>
  <c r="O35" i="1"/>
  <c r="O41" i="1"/>
  <c r="O43" i="1"/>
  <c r="O38" i="1"/>
  <c r="O37" i="1"/>
  <c r="O44" i="1"/>
  <c r="O33" i="1"/>
  <c r="O34" i="1"/>
  <c r="O45" i="1"/>
  <c r="O32" i="1"/>
  <c r="O42" i="1"/>
  <c r="O47" i="1"/>
  <c r="O40" i="1"/>
  <c r="O39" i="1"/>
  <c r="C16" i="1"/>
  <c r="D18" i="1" s="1"/>
  <c r="C12" i="2"/>
  <c r="O24" i="2" l="1"/>
  <c r="R24" i="2" s="1"/>
  <c r="O27" i="2"/>
  <c r="R27" i="2" s="1"/>
  <c r="O31" i="2"/>
  <c r="R31" i="2" s="1"/>
  <c r="O22" i="2"/>
  <c r="R22" i="2" s="1"/>
  <c r="O29" i="2"/>
  <c r="R29" i="2" s="1"/>
  <c r="O21" i="2"/>
  <c r="R21" i="2" s="1"/>
  <c r="O23" i="2"/>
  <c r="R23" i="2" s="1"/>
  <c r="O25" i="2"/>
  <c r="R25" i="2" s="1"/>
  <c r="O32" i="2"/>
  <c r="R32" i="2" s="1"/>
  <c r="O26" i="2"/>
  <c r="C16" i="2"/>
  <c r="D18" i="2" s="1"/>
  <c r="O28" i="2"/>
  <c r="R28" i="2" s="1"/>
  <c r="O30" i="2"/>
  <c r="R30" i="2" s="1"/>
  <c r="C15" i="2"/>
  <c r="C18" i="3"/>
  <c r="F18" i="3"/>
  <c r="F19" i="3" s="1"/>
  <c r="C18" i="1"/>
  <c r="F18" i="1"/>
  <c r="F19" i="1" s="1"/>
  <c r="E16" i="2" l="1"/>
  <c r="E17" i="2" s="1"/>
  <c r="R19" i="2"/>
  <c r="C18" i="2"/>
</calcChain>
</file>

<file path=xl/sharedStrings.xml><?xml version="1.0" encoding="utf-8"?>
<sst xmlns="http://schemas.openxmlformats.org/spreadsheetml/2006/main" count="261" uniqueCount="77">
  <si>
    <t>JAVSO..47..105</t>
  </si>
  <si>
    <t>VSB-059</t>
  </si>
  <si>
    <t>V</t>
  </si>
  <si>
    <t>IBVS 6244</t>
  </si>
  <si>
    <t>VSB 060</t>
  </si>
  <si>
    <t>This is the same as page A</t>
  </si>
  <si>
    <t>PE</t>
  </si>
  <si>
    <t>VSX</t>
  </si>
  <si>
    <t>pg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</si>
  <si>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</si>
  <si>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</si>
  <si>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</si>
  <si>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</si>
  <si>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</si>
  <si>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</si>
  <si>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</si>
  <si>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</si>
  <si>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</si>
  <si>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</si>
  <si>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</si>
  <si>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</si>
  <si>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</si>
  <si>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</si>
  <si>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</si>
  <si>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</si>
  <si>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</si>
  <si>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</si>
  <si>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</si>
  <si>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</si>
  <si>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</si>
  <si>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</si>
  <si>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</si>
  <si>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</si>
  <si>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</si>
  <si>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</si>
  <si>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</si>
  <si>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</si>
  <si>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</si>
  <si>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</si>
  <si>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</si>
  <si>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</si>
  <si>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</si>
  <si>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</si>
  <si>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</si>
  <si>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</si>
  <si>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</si>
  <si>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</si>
  <si>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</si>
  <si>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</si>
  <si>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CW CMi / GSC 4832-0400               </t>
  </si>
  <si>
    <t xml:space="preserve">EW/K      </t>
  </si>
  <si>
    <t>IBVS 5871</t>
  </si>
  <si>
    <t>II</t>
  </si>
  <si>
    <t>IBVS 5920</t>
  </si>
  <si>
    <t>OEJV 116</t>
  </si>
  <si>
    <t>IBVS 5960</t>
  </si>
  <si>
    <t>OEJV</t>
  </si>
  <si>
    <t>Add cycle</t>
  </si>
  <si>
    <t>Old Cycle</t>
  </si>
  <si>
    <t>OEJV 0137</t>
  </si>
  <si>
    <t>IBVS 4844</t>
  </si>
  <si>
    <t>CCD</t>
  </si>
  <si>
    <t>BAD?</t>
  </si>
  <si>
    <t>vis</t>
  </si>
  <si>
    <t>VSB_061</t>
  </si>
  <si>
    <t>OEJV 0116</t>
  </si>
  <si>
    <t>GCVS</t>
  </si>
  <si>
    <t>JAVSO..45..121</t>
  </si>
  <si>
    <t>VSB-64</t>
  </si>
  <si>
    <t>Ic</t>
  </si>
  <si>
    <t>JAVSO..48..256</t>
  </si>
  <si>
    <t>JAVSO 49, 256</t>
  </si>
  <si>
    <t>JAVSO, 48, 256</t>
  </si>
  <si>
    <t>VSB, 91</t>
  </si>
  <si>
    <t>J+44:51AVSO..46..184</t>
  </si>
  <si>
    <t>JAAVSO 51, 134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</si>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</sst>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"/>
    <numFmt numFmtId="167" formatCode="0.00000"/>
  </numFmts>
  <fonts count="4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43" fontId="41" fillId="0" borderId="0" applyFont="0" applyFill="0" applyBorder="0" applyAlignment="0" applyProtection="0"/>
  </cellStyleXfs>
  <cellXfs count="8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4" fillId="0" borderId="5" xfId="0" applyFont="1" applyBorder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8" xfId="0" applyFont="1" applyBorder="1" applyAlignment="1">
      <alignment horizontal="center"/>
    </xf>
    <xf numFmtId="0" fontId="17" fillId="0" borderId="0" xfId="41" applyFont="1"/>
    <xf numFmtId="0" fontId="17" fillId="0" borderId="0" xfId="41" applyFont="1" applyAlignment="1">
      <alignment horizontal="center"/>
    </xf>
    <xf numFmtId="0" fontId="17" fillId="0" borderId="0" xfId="41" applyFont="1" applyAlignment="1">
      <alignment horizontal="left"/>
    </xf>
    <xf numFmtId="0" fontId="34" fillId="0" borderId="0" xfId="41" applyFont="1" applyAlignment="1">
      <alignment horizontal="left"/>
    </xf>
    <xf numFmtId="0" fontId="34" fillId="0" borderId="0" xfId="41" applyFont="1" applyAlignment="1">
      <alignment horizontal="center"/>
    </xf>
    <xf numFmtId="0" fontId="35" fillId="0" borderId="0" xfId="41" applyFont="1" applyAlignment="1">
      <alignment horizontal="left"/>
    </xf>
    <xf numFmtId="0" fontId="36" fillId="0" borderId="0" xfId="0" applyFont="1" applyAlignment="1"/>
    <xf numFmtId="0" fontId="37" fillId="24" borderId="0" xfId="0" applyFont="1" applyFill="1" applyAlignment="1"/>
    <xf numFmtId="0" fontId="9" fillId="25" borderId="0" xfId="0" applyFont="1" applyFill="1" applyAlignment="1"/>
    <xf numFmtId="0" fontId="9" fillId="0" borderId="0" xfId="0" applyFont="1" applyAlignment="1">
      <alignment horizontal="left"/>
    </xf>
    <xf numFmtId="0" fontId="39" fillId="0" borderId="0" xfId="0" applyFont="1">
      <alignment vertical="top"/>
    </xf>
    <xf numFmtId="0" fontId="5" fillId="0" borderId="0" xfId="41" applyFont="1" applyAlignment="1">
      <alignment horizontal="left"/>
    </xf>
    <xf numFmtId="0" fontId="5" fillId="0" borderId="0" xfId="41" applyFont="1" applyAlignment="1">
      <alignment horizontal="center"/>
    </xf>
    <xf numFmtId="0" fontId="5" fillId="0" borderId="0" xfId="41" applyFont="1"/>
    <xf numFmtId="0" fontId="5" fillId="0" borderId="0" xfId="0" applyFont="1" applyAlignment="1"/>
    <xf numFmtId="0" fontId="5" fillId="0" borderId="0" xfId="0" applyFont="1" applyAlignment="1">
      <alignment horizontal="left" vertical="top"/>
    </xf>
    <xf numFmtId="0" fontId="5" fillId="0" borderId="0" xfId="41" applyFont="1" applyAlignment="1">
      <alignment horizontal="left" wrapText="1"/>
    </xf>
    <xf numFmtId="0" fontId="16" fillId="0" borderId="0" xfId="0" applyFont="1">
      <alignment vertical="top"/>
    </xf>
    <xf numFmtId="0" fontId="16" fillId="0" borderId="0" xfId="41" applyFont="1"/>
    <xf numFmtId="0" fontId="16" fillId="0" borderId="0" xfId="41" applyFont="1" applyAlignment="1">
      <alignment horizontal="center"/>
    </xf>
    <xf numFmtId="0" fontId="16" fillId="0" borderId="0" xfId="41" applyFont="1" applyAlignment="1">
      <alignment horizontal="left"/>
    </xf>
    <xf numFmtId="0" fontId="16" fillId="0" borderId="0" xfId="0" applyFont="1" applyAlignment="1"/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43" fontId="40" fillId="0" borderId="0" xfId="47" applyFont="1" applyBorder="1"/>
    <xf numFmtId="167" fontId="40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 vertical="top"/>
    </xf>
    <xf numFmtId="167" fontId="5" fillId="0" borderId="0" xfId="41" applyNumberFormat="1" applyFont="1" applyAlignment="1">
      <alignment horizontal="left" wrapText="1"/>
    </xf>
    <xf numFmtId="167" fontId="16" fillId="0" borderId="0" xfId="0" applyNumberFormat="1" applyFont="1" applyAlignment="1">
      <alignment horizontal="left"/>
    </xf>
    <xf numFmtId="167" fontId="5" fillId="0" borderId="0" xfId="41" applyNumberFormat="1" applyFont="1" applyAlignment="1">
      <alignment horizontal="left"/>
    </xf>
    <xf numFmtId="167" fontId="16" fillId="0" borderId="0" xfId="41" applyNumberFormat="1" applyFont="1" applyAlignment="1">
      <alignment horizontal="left"/>
    </xf>
    <xf numFmtId="167" fontId="40" fillId="0" borderId="0" xfId="0" applyNumberFormat="1" applyFont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CW CMi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Active!$D$21:$D$207</c:f>
                <c:numCache>
                  <c:formatCode>General</c:formatCode>
                  <c:ptCount val="18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Active!$D$21:$D$207</c:f>
                <c:numCache>
                  <c:formatCode>General</c:formatCode>
                  <c:ptCount val="18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Active!$H$21:$H$967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32-4AB7-B893-0F01F3A5A93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Active!$I$21:$I$967</c:f>
              <c:numCache>
                <c:formatCode>General</c:formatCode>
                <c:ptCount val="947"/>
                <c:pt idx="6">
                  <c:v>1.1811999997007661E-2</c:v>
                </c:pt>
                <c:pt idx="7">
                  <c:v>1.3215999999374617E-2</c:v>
                </c:pt>
                <c:pt idx="9">
                  <c:v>1.3092000001051929E-2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32-4AB7-B893-0F01F3A5A93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Active!$J$21:$J$967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32-4AB7-B893-0F01F3A5A93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Active!$K$21:$K$967</c:f>
              <c:numCache>
                <c:formatCode>General</c:formatCode>
                <c:ptCount val="947"/>
                <c:pt idx="0">
                  <c:v>-3.7892000007559545E-2</c:v>
                </c:pt>
                <c:pt idx="1">
                  <c:v>-3.836800000135554E-2</c:v>
                </c:pt>
                <c:pt idx="2">
                  <c:v>-4.0139999997336417E-2</c:v>
                </c:pt>
                <c:pt idx="3">
                  <c:v>-3.8284000002022367E-2</c:v>
                </c:pt>
                <c:pt idx="4">
                  <c:v>-3.9135999999416526E-2</c:v>
                </c:pt>
                <c:pt idx="5">
                  <c:v>0</c:v>
                </c:pt>
                <c:pt idx="6">
                  <c:v>1.1811999997007661E-2</c:v>
                </c:pt>
                <c:pt idx="7">
                  <c:v>1.3215999999374617E-2</c:v>
                </c:pt>
                <c:pt idx="8">
                  <c:v>1.2695999997959007E-2</c:v>
                </c:pt>
                <c:pt idx="9">
                  <c:v>1.3092000001051929E-2</c:v>
                </c:pt>
                <c:pt idx="10">
                  <c:v>8.6379999993368983E-3</c:v>
                </c:pt>
                <c:pt idx="11">
                  <c:v>9.9479999989853241E-3</c:v>
                </c:pt>
                <c:pt idx="12">
                  <c:v>1.2824000186810736E-2</c:v>
                </c:pt>
                <c:pt idx="13">
                  <c:v>1.4824000048974995E-2</c:v>
                </c:pt>
                <c:pt idx="14">
                  <c:v>8.1519998639123514E-3</c:v>
                </c:pt>
                <c:pt idx="15">
                  <c:v>1.1456000065663829E-2</c:v>
                </c:pt>
                <c:pt idx="16">
                  <c:v>8.6199999714153819E-3</c:v>
                </c:pt>
                <c:pt idx="17">
                  <c:v>1.3800000961055048E-3</c:v>
                </c:pt>
                <c:pt idx="18">
                  <c:v>1.1599999997997656E-3</c:v>
                </c:pt>
                <c:pt idx="19">
                  <c:v>-9.740000001329463E-3</c:v>
                </c:pt>
                <c:pt idx="20">
                  <c:v>-1.3775999999779742E-2</c:v>
                </c:pt>
                <c:pt idx="21">
                  <c:v>-1.1372000000847038E-2</c:v>
                </c:pt>
                <c:pt idx="22">
                  <c:v>-1.2040000008710194E-2</c:v>
                </c:pt>
                <c:pt idx="23">
                  <c:v>-2.0024000004923437E-2</c:v>
                </c:pt>
                <c:pt idx="24">
                  <c:v>-3.0112000000372063E-2</c:v>
                </c:pt>
                <c:pt idx="25">
                  <c:v>-3.0112000000372063E-2</c:v>
                </c:pt>
                <c:pt idx="26">
                  <c:v>-6.1132000002544373E-2</c:v>
                </c:pt>
                <c:pt idx="27">
                  <c:v>-2.7348000046913512E-2</c:v>
                </c:pt>
                <c:pt idx="28">
                  <c:v>-3.4223999886307865E-2</c:v>
                </c:pt>
                <c:pt idx="29">
                  <c:v>-3.4579999999550637E-2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32-4AB7-B893-0F01F3A5A93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Active!$L$21:$L$967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32-4AB7-B893-0F01F3A5A93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Active!$M$21:$M$967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32-4AB7-B893-0F01F3A5A93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plus>
            <c:minus>
              <c:numRef>
                <c:f>Active!$D$21:$D$967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  <c:pt idx="12">
                    <c:v>0</c:v>
                  </c:pt>
                  <c:pt idx="13">
                    <c:v>0</c:v>
                  </c:pt>
                  <c:pt idx="18">
                    <c:v>2.0000000000000001E-4</c:v>
                  </c:pt>
                  <c:pt idx="19">
                    <c:v>0</c:v>
                  </c:pt>
                  <c:pt idx="20">
                    <c:v>2E-3</c:v>
                  </c:pt>
                  <c:pt idx="21">
                    <c:v>1.5E-3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0</c:v>
                  </c:pt>
                  <c:pt idx="28">
                    <c:v>5.0000000000000001E-4</c:v>
                  </c:pt>
                  <c:pt idx="29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Active!$N$21:$N$967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32-4AB7-B893-0F01F3A5A93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Active!$O$21:$O$967</c:f>
              <c:numCache>
                <c:formatCode>General</c:formatCode>
                <c:ptCount val="947"/>
                <c:pt idx="11">
                  <c:v>3.2054589690017704E-2</c:v>
                </c:pt>
                <c:pt idx="12">
                  <c:v>1.0903373886807469E-2</c:v>
                </c:pt>
                <c:pt idx="13">
                  <c:v>1.0903373886807469E-2</c:v>
                </c:pt>
                <c:pt idx="14">
                  <c:v>4.8865913615603468E-3</c:v>
                </c:pt>
                <c:pt idx="15">
                  <c:v>4.8837014564089287E-3</c:v>
                </c:pt>
                <c:pt idx="16">
                  <c:v>4.2594819437031806E-3</c:v>
                </c:pt>
                <c:pt idx="17">
                  <c:v>-1.1301911636867751E-3</c:v>
                </c:pt>
                <c:pt idx="18">
                  <c:v>-2.4884465848520748E-3</c:v>
                </c:pt>
                <c:pt idx="19">
                  <c:v>-8.9907331755370162E-3</c:v>
                </c:pt>
                <c:pt idx="20">
                  <c:v>-9.2537145443158247E-3</c:v>
                </c:pt>
                <c:pt idx="21">
                  <c:v>-9.2566044494672428E-3</c:v>
                </c:pt>
                <c:pt idx="22">
                  <c:v>-9.2797236906785596E-3</c:v>
                </c:pt>
                <c:pt idx="23">
                  <c:v>-1.5793569901969159E-2</c:v>
                </c:pt>
                <c:pt idx="24">
                  <c:v>-2.2954754867176838E-2</c:v>
                </c:pt>
                <c:pt idx="25">
                  <c:v>-2.2954754867176838E-2</c:v>
                </c:pt>
                <c:pt idx="26">
                  <c:v>-2.908135378817775E-2</c:v>
                </c:pt>
                <c:pt idx="27">
                  <c:v>-3.5861071273398576E-2</c:v>
                </c:pt>
                <c:pt idx="28">
                  <c:v>-4.722128842361302E-2</c:v>
                </c:pt>
                <c:pt idx="29">
                  <c:v>-4.7614315524205517E-2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32-4AB7-B893-0F01F3A5A93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13428</c:v>
                </c:pt>
                <c:pt idx="13">
                  <c:v>13428</c:v>
                </c:pt>
                <c:pt idx="14">
                  <c:v>14469</c:v>
                </c:pt>
                <c:pt idx="15">
                  <c:v>14469.5</c:v>
                </c:pt>
                <c:pt idx="16">
                  <c:v>14577.5</c:v>
                </c:pt>
                <c:pt idx="17">
                  <c:v>15510</c:v>
                </c:pt>
                <c:pt idx="18">
                  <c:v>15745</c:v>
                </c:pt>
                <c:pt idx="19">
                  <c:v>16870</c:v>
                </c:pt>
                <c:pt idx="20">
                  <c:v>16915.5</c:v>
                </c:pt>
                <c:pt idx="21">
                  <c:v>16916</c:v>
                </c:pt>
                <c:pt idx="22">
                  <c:v>16920</c:v>
                </c:pt>
                <c:pt idx="23">
                  <c:v>18047</c:v>
                </c:pt>
                <c:pt idx="24">
                  <c:v>19286</c:v>
                </c:pt>
                <c:pt idx="25">
                  <c:v>19286</c:v>
                </c:pt>
                <c:pt idx="26">
                  <c:v>20346</c:v>
                </c:pt>
                <c:pt idx="27">
                  <c:v>21519</c:v>
                </c:pt>
                <c:pt idx="28">
                  <c:v>23484.5</c:v>
                </c:pt>
                <c:pt idx="29">
                  <c:v>23552.5</c:v>
                </c:pt>
              </c:numCache>
            </c:numRef>
          </c:xVal>
          <c:yVal>
            <c:numRef>
              <c:f>Active!$U$21:$U$967</c:f>
              <c:numCache>
                <c:formatCode>General</c:formatCode>
                <c:ptCount val="947"/>
                <c:pt idx="0">
                  <c:v>-3.7892000007559545E-2</c:v>
                </c:pt>
                <c:pt idx="1">
                  <c:v>-3.836800000135554E-2</c:v>
                </c:pt>
                <c:pt idx="2">
                  <c:v>-4.0139999997336417E-2</c:v>
                </c:pt>
                <c:pt idx="3">
                  <c:v>-3.8284000002022367E-2</c:v>
                </c:pt>
                <c:pt idx="4">
                  <c:v>-3.9135999999416526E-2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132-4AB7-B893-0F01F3A5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18216"/>
        <c:axId val="1"/>
      </c:scatterChart>
      <c:valAx>
        <c:axId val="497918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182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51127819548873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CW CMi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35127795846455"/>
          <c:w val="0.8285714285714286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(3)'!$D$21:$D$207</c:f>
                <c:numCache>
                  <c:formatCode>General</c:formatCode>
                  <c:ptCount val="18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(3)'!$D$21:$D$207</c:f>
                <c:numCache>
                  <c:formatCode>General</c:formatCode>
                  <c:ptCount val="18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(3)'!$H$21:$H$967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C6-4C5E-8215-9AAF5D8F477E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(3)'!$I$21:$I$967</c:f>
              <c:numCache>
                <c:formatCode>General</c:formatCode>
                <c:ptCount val="947"/>
                <c:pt idx="6">
                  <c:v>0.2806750000017928</c:v>
                </c:pt>
                <c:pt idx="7">
                  <c:v>0.28209999999671709</c:v>
                </c:pt>
                <c:pt idx="9">
                  <c:v>0.37267499999870779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C6-4C5E-8215-9AAF5D8F477E}"/>
            </c:ext>
          </c:extLst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(3)'!$J$21:$J$967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C6-4C5E-8215-9AAF5D8F477E}"/>
            </c:ext>
          </c:extLst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(3)'!$K$21:$K$967</c:f>
              <c:numCache>
                <c:formatCode>General</c:formatCode>
                <c:ptCount val="947"/>
                <c:pt idx="0">
                  <c:v>-7.2500000002037268E-2</c:v>
                </c:pt>
                <c:pt idx="1">
                  <c:v>-7.2850000004109461E-2</c:v>
                </c:pt>
                <c:pt idx="2">
                  <c:v>-7.4475000001257285E-2</c:v>
                </c:pt>
                <c:pt idx="3">
                  <c:v>-7.1275000002060551E-2</c:v>
                </c:pt>
                <c:pt idx="4">
                  <c:v>-7.1875000001455192E-2</c:v>
                </c:pt>
                <c:pt idx="5">
                  <c:v>0</c:v>
                </c:pt>
                <c:pt idx="6">
                  <c:v>0.2806750000017928</c:v>
                </c:pt>
                <c:pt idx="7">
                  <c:v>0.28209999999671709</c:v>
                </c:pt>
                <c:pt idx="8">
                  <c:v>0.32400000000052387</c:v>
                </c:pt>
                <c:pt idx="9">
                  <c:v>0.37267499999870779</c:v>
                </c:pt>
                <c:pt idx="10">
                  <c:v>0.37806999999884283</c:v>
                </c:pt>
                <c:pt idx="11">
                  <c:v>0.42022500000166474</c:v>
                </c:pt>
                <c:pt idx="12">
                  <c:v>0.61584999986371258</c:v>
                </c:pt>
                <c:pt idx="13">
                  <c:v>0.61917500006529735</c:v>
                </c:pt>
                <c:pt idx="14">
                  <c:v>0.62087499997142004</c:v>
                </c:pt>
                <c:pt idx="15">
                  <c:v>0.65280000009806827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C6-4C5E-8215-9AAF5D8F477E}"/>
            </c:ext>
          </c:extLst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(3)'!$L$21:$L$967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C6-4C5E-8215-9AAF5D8F477E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(3)'!$M$21:$M$967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C6-4C5E-8215-9AAF5D8F477E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(3)'!$D$21:$D$967</c:f>
                <c:numCache>
                  <c:formatCode>General</c:formatCode>
                  <c:ptCount val="9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(3)'!$N$21:$N$967</c:f>
              <c:numCache>
                <c:formatCode>General</c:formatCode>
                <c:ptCount val="9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C6-4C5E-8215-9AAF5D8F477E}"/>
            </c:ext>
          </c:extLst>
        </c:ser>
        <c:ser>
          <c:idx val="7"/>
          <c:order val="7"/>
          <c:tx>
            <c:strRef>
              <c:f>'A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(3)'!$O$21:$O$967</c:f>
              <c:numCache>
                <c:formatCode>General</c:formatCode>
                <c:ptCount val="947"/>
                <c:pt idx="0">
                  <c:v>-1.7015371602211303E-2</c:v>
                </c:pt>
                <c:pt idx="1">
                  <c:v>-1.6891384985732831E-2</c:v>
                </c:pt>
                <c:pt idx="2">
                  <c:v>-1.6746733933174614E-2</c:v>
                </c:pt>
                <c:pt idx="3">
                  <c:v>-1.5424210024070906E-2</c:v>
                </c:pt>
                <c:pt idx="4">
                  <c:v>-1.5176236791113955E-2</c:v>
                </c:pt>
                <c:pt idx="5">
                  <c:v>1.7039619057209243E-2</c:v>
                </c:pt>
                <c:pt idx="6">
                  <c:v>0.2816063941861906</c:v>
                </c:pt>
                <c:pt idx="7">
                  <c:v>0.28162705862227033</c:v>
                </c:pt>
                <c:pt idx="8">
                  <c:v>0.32336921950335623</c:v>
                </c:pt>
                <c:pt idx="9">
                  <c:v>0.37087675805069109</c:v>
                </c:pt>
                <c:pt idx="10">
                  <c:v>0.38056837857209169</c:v>
                </c:pt>
                <c:pt idx="11">
                  <c:v>0.42076070674719668</c:v>
                </c:pt>
                <c:pt idx="12">
                  <c:v>0.61502707033288395</c:v>
                </c:pt>
                <c:pt idx="13">
                  <c:v>0.61504773476896357</c:v>
                </c:pt>
                <c:pt idx="14">
                  <c:v>0.61951125296218867</c:v>
                </c:pt>
                <c:pt idx="15">
                  <c:v>0.65805042625091392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C6-4C5E-8215-9AAF5D8F477E}"/>
            </c:ext>
          </c:extLst>
        </c:ser>
        <c:ser>
          <c:idx val="8"/>
          <c:order val="8"/>
          <c:tx>
            <c:strRef>
              <c:f>'A (3)'!$U$20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(3)'!$F$21:$F$967</c:f>
              <c:numCache>
                <c:formatCode>General</c:formatCode>
                <c:ptCount val="947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  <c:pt idx="12">
                  <c:v>14469</c:v>
                </c:pt>
                <c:pt idx="13">
                  <c:v>14469.5</c:v>
                </c:pt>
                <c:pt idx="14">
                  <c:v>14577.5</c:v>
                </c:pt>
                <c:pt idx="15">
                  <c:v>15510</c:v>
                </c:pt>
              </c:numCache>
            </c:numRef>
          </c:xVal>
          <c:yVal>
            <c:numRef>
              <c:f>'A (3)'!$U$21:$U$967</c:f>
              <c:numCache>
                <c:formatCode>General</c:formatCode>
                <c:ptCount val="947"/>
                <c:pt idx="0">
                  <c:v>-7.2500000002037268E-2</c:v>
                </c:pt>
                <c:pt idx="1">
                  <c:v>-7.2850000004109461E-2</c:v>
                </c:pt>
                <c:pt idx="2">
                  <c:v>-7.4475000001257285E-2</c:v>
                </c:pt>
                <c:pt idx="3">
                  <c:v>-7.1275000002060551E-2</c:v>
                </c:pt>
                <c:pt idx="4">
                  <c:v>-7.1875000001455192E-2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C6-4C5E-8215-9AAF5D8F4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22480"/>
        <c:axId val="1"/>
      </c:scatterChart>
      <c:valAx>
        <c:axId val="497922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224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50375939849624"/>
          <c:y val="0.92397660818713445"/>
          <c:w val="0.72330827067669157"/>
          <c:h val="5.84795321637426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CW CMi - O-C Diagr.</a:t>
            </a:r>
          </a:p>
        </c:rich>
      </c:tx>
      <c:layout>
        <c:manualLayout>
          <c:xMode val="edge"/>
          <c:yMode val="edge"/>
          <c:x val="0.3828835134346945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4035127795846455"/>
          <c:w val="0.8198210219316317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(2)'!$D$21:$D$221</c:f>
                <c:numCache>
                  <c:formatCode>General</c:formatCod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(2)'!$D$21:$D$221</c:f>
                <c:numCache>
                  <c:formatCode>General</c:formatCod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</c:numCache>
            </c:numRef>
          </c:xVal>
          <c:yVal>
            <c:numRef>
              <c:f>'A (2)'!$H$21:$H$981</c:f>
              <c:numCache>
                <c:formatCode>General</c:formatCode>
                <c:ptCount val="961"/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7-48DA-8CE1-6FAB81A1F5C5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</c:numCache>
            </c:numRef>
          </c:xVal>
          <c:yVal>
            <c:numRef>
              <c:f>'A (2)'!$I$21:$I$981</c:f>
              <c:numCache>
                <c:formatCode>General</c:formatCode>
                <c:ptCount val="961"/>
                <c:pt idx="0">
                  <c:v>-3.7068000005092472E-2</c:v>
                </c:pt>
                <c:pt idx="1">
                  <c:v>-3.7546999999904074E-2</c:v>
                </c:pt>
                <c:pt idx="2">
                  <c:v>-3.9322500000707805E-2</c:v>
                </c:pt>
                <c:pt idx="3">
                  <c:v>-3.7498500001674984E-2</c:v>
                </c:pt>
                <c:pt idx="4">
                  <c:v>-3.8356500001100358E-2</c:v>
                </c:pt>
                <c:pt idx="8">
                  <c:v>5.2839999989373609E-3</c:v>
                </c:pt>
                <c:pt idx="9">
                  <c:v>4.5305000021471642E-3</c:v>
                </c:pt>
                <c:pt idx="11">
                  <c:v>1.7949999892152846E-4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E7-48DA-8CE1-6FAB81A1F5C5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OEJV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</c:numCache>
            </c:numRef>
          </c:xVal>
          <c:yVal>
            <c:numRef>
              <c:f>'A (2)'!$J$21:$J$981</c:f>
              <c:numCache>
                <c:formatCode>General</c:formatCode>
                <c:ptCount val="961"/>
                <c:pt idx="6">
                  <c:v>5.4105000017443672E-3</c:v>
                </c:pt>
                <c:pt idx="7">
                  <c:v>6.8139999930281192E-3</c:v>
                </c:pt>
                <c:pt idx="10">
                  <c:v>-1.5800000255694613E-4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E7-48DA-8CE1-6FAB81A1F5C5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</c:numCache>
            </c:numRef>
          </c:xVal>
          <c:yVal>
            <c:numRef>
              <c:f>'A (2)'!$K$21:$K$981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E7-48DA-8CE1-6FAB81A1F5C5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</c:numCache>
            </c:numRef>
          </c:xVal>
          <c:yVal>
            <c:numRef>
              <c:f>'A (2)'!$L$21:$L$981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E7-48DA-8CE1-6FAB81A1F5C5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</c:numCache>
            </c:numRef>
          </c:xVal>
          <c:yVal>
            <c:numRef>
              <c:f>'A (2)'!$M$21:$M$981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E7-48DA-8CE1-6FAB81A1F5C5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plus>
            <c:min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6">
                    <c:v>5.0000000000000001E-3</c:v>
                  </c:pt>
                  <c:pt idx="7">
                    <c:v>7.0000000000000001E-3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2.9999999999999997E-4</c:v>
                  </c:pt>
                  <c:pt idx="1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</c:numCache>
            </c:numRef>
          </c:xVal>
          <c:yVal>
            <c:numRef>
              <c:f>'A (2)'!$N$21:$N$981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E7-48DA-8CE1-6FAB81A1F5C5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(2)'!$F$21:$F$981</c:f>
              <c:numCache>
                <c:formatCode>General</c:formatCode>
                <c:ptCount val="961"/>
                <c:pt idx="0">
                  <c:v>-824</c:v>
                </c:pt>
                <c:pt idx="1">
                  <c:v>-821</c:v>
                </c:pt>
                <c:pt idx="2">
                  <c:v>-817.5</c:v>
                </c:pt>
                <c:pt idx="3">
                  <c:v>-785.5</c:v>
                </c:pt>
                <c:pt idx="4">
                  <c:v>-779.5</c:v>
                </c:pt>
                <c:pt idx="5">
                  <c:v>0</c:v>
                </c:pt>
                <c:pt idx="6">
                  <c:v>6401.5</c:v>
                </c:pt>
                <c:pt idx="7">
                  <c:v>6402</c:v>
                </c:pt>
                <c:pt idx="8">
                  <c:v>7412</c:v>
                </c:pt>
                <c:pt idx="9">
                  <c:v>8561.5</c:v>
                </c:pt>
                <c:pt idx="10">
                  <c:v>8796</c:v>
                </c:pt>
                <c:pt idx="11">
                  <c:v>9768.5</c:v>
                </c:pt>
              </c:numCache>
            </c:numRef>
          </c:xVal>
          <c:yVal>
            <c:numRef>
              <c:f>'A (2)'!$O$21:$O$981</c:f>
              <c:numCache>
                <c:formatCode>General</c:formatCode>
                <c:ptCount val="961"/>
                <c:pt idx="0">
                  <c:v>2.2603947854053829E-3</c:v>
                </c:pt>
                <c:pt idx="1">
                  <c:v>2.2607471368581954E-3</c:v>
                </c:pt>
                <c:pt idx="2">
                  <c:v>2.2611582135531436E-3</c:v>
                </c:pt>
                <c:pt idx="3">
                  <c:v>2.2649166290498114E-3</c:v>
                </c:pt>
                <c:pt idx="4">
                  <c:v>2.2656213319554369E-3</c:v>
                </c:pt>
                <c:pt idx="5">
                  <c:v>2.357173984444582E-3</c:v>
                </c:pt>
                <c:pt idx="6">
                  <c:v>3.1090332595045738E-3</c:v>
                </c:pt>
                <c:pt idx="7">
                  <c:v>3.1090919847467091E-3</c:v>
                </c:pt>
                <c:pt idx="8">
                  <c:v>3.2277169738602904E-3</c:v>
                </c:pt>
                <c:pt idx="9">
                  <c:v>3.3627263055296588E-3</c:v>
                </c:pt>
                <c:pt idx="10">
                  <c:v>3.3902684440911784E-3</c:v>
                </c:pt>
                <c:pt idx="11">
                  <c:v>3.5044890400446021E-3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E7-48DA-8CE1-6FAB81A1F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21824"/>
        <c:axId val="1"/>
      </c:scatterChart>
      <c:valAx>
        <c:axId val="497921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24812213788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218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222222222222221"/>
          <c:y val="0.92397660818713445"/>
          <c:w val="0.91141141141141135"/>
          <c:h val="0.982456140350877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8D3D5000-CE01-66A9-D8A3-4D87FAA58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 macro="">
      <xdr:nvGraphicFramePr>
        <xdr:cNvPr id="53252" name="Chart 1025">
          <a:extLst>
            <a:ext uri="{FF2B5EF4-FFF2-40B4-BE49-F238E27FC236}">
              <a16:creationId xmlns:a16="http://schemas.microsoft.com/office/drawing/2014/main" id="{414A7897-FA9B-EC12-0F57-5DA818707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0</xdr:rowOff>
    </xdr:from>
    <xdr:to>
      <xdr:col>17</xdr:col>
      <xdr:colOff>76200</xdr:colOff>
      <xdr:row>19</xdr:row>
      <xdr:rowOff>9525</xdr:rowOff>
    </xdr:to>
    <xdr:graphicFrame macro="">
      <xdr:nvGraphicFramePr>
        <xdr:cNvPr id="50181" name="Chart 2">
          <a:extLst>
            <a:ext uri="{FF2B5EF4-FFF2-40B4-BE49-F238E27FC236}">
              <a16:creationId xmlns:a16="http://schemas.microsoft.com/office/drawing/2014/main" id="{B375F241-5429-B6BB-DB91-5C926A790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vsolj.cetus-net.org/bulleti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U6908"/>
  <sheetViews>
    <sheetView tabSelected="1" workbookViewId="0">
      <pane xSplit="14" ySplit="21" topLeftCell="O31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5.42578125" customWidth="1"/>
    <col min="2" max="2" width="3.85546875" customWidth="1"/>
    <col min="3" max="3" width="13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49</v>
      </c>
    </row>
    <row r="2" spans="1:6" x14ac:dyDescent="0.2">
      <c r="A2" t="s">
        <v>31</v>
      </c>
      <c r="B2" t="s">
        <v>50</v>
      </c>
      <c r="C2" s="3"/>
      <c r="D2" s="3"/>
    </row>
    <row r="3" spans="1:6" ht="13.5" thickBot="1" x14ac:dyDescent="0.25"/>
    <row r="4" spans="1:6" ht="14.25" thickTop="1" thickBot="1" x14ac:dyDescent="0.25">
      <c r="A4" s="5" t="s">
        <v>48</v>
      </c>
      <c r="C4" s="8">
        <v>52500.495600000002</v>
      </c>
      <c r="D4" s="9">
        <v>0.31313528000000002</v>
      </c>
    </row>
    <row r="5" spans="1:6" ht="13.5" thickTop="1" x14ac:dyDescent="0.2">
      <c r="A5" s="11" t="s">
        <v>38</v>
      </c>
      <c r="B5" s="12"/>
      <c r="C5" s="13">
        <v>-9.5</v>
      </c>
      <c r="D5" s="12" t="s">
        <v>39</v>
      </c>
    </row>
    <row r="6" spans="1:6" x14ac:dyDescent="0.2">
      <c r="A6" s="5" t="s">
        <v>9</v>
      </c>
    </row>
    <row r="7" spans="1:6" x14ac:dyDescent="0.2">
      <c r="A7" t="s">
        <v>10</v>
      </c>
      <c r="C7">
        <v>52500.495600000002</v>
      </c>
    </row>
    <row r="8" spans="1:6" x14ac:dyDescent="0.2">
      <c r="A8" t="s">
        <v>11</v>
      </c>
      <c r="C8">
        <v>0.31319200000000003</v>
      </c>
      <c r="D8" s="29" t="s">
        <v>7</v>
      </c>
    </row>
    <row r="9" spans="1:6" x14ac:dyDescent="0.2">
      <c r="A9" s="27" t="s">
        <v>44</v>
      </c>
      <c r="B9" s="28">
        <v>33</v>
      </c>
      <c r="C9" s="25" t="str">
        <f>"F"&amp;B9</f>
        <v>F33</v>
      </c>
      <c r="D9" s="26" t="str">
        <f>"G"&amp;B9</f>
        <v>G33</v>
      </c>
    </row>
    <row r="10" spans="1:6" ht="13.5" thickBot="1" x14ac:dyDescent="0.25">
      <c r="A10" s="12"/>
      <c r="B10" s="12"/>
      <c r="C10" s="4" t="s">
        <v>27</v>
      </c>
      <c r="D10" s="4" t="s">
        <v>28</v>
      </c>
      <c r="E10" s="12"/>
    </row>
    <row r="11" spans="1:6" x14ac:dyDescent="0.2">
      <c r="A11" s="12" t="s">
        <v>23</v>
      </c>
      <c r="B11" s="12"/>
      <c r="C11" s="24">
        <f ca="1">INTERCEPT(INDIRECT($D$9):G977,INDIRECT($C$9):F977)</f>
        <v>8.8514666633222841E-2</v>
      </c>
      <c r="D11" s="3"/>
      <c r="E11" s="12"/>
    </row>
    <row r="12" spans="1:6" x14ac:dyDescent="0.2">
      <c r="A12" s="12" t="s">
        <v>24</v>
      </c>
      <c r="B12" s="12"/>
      <c r="C12" s="24">
        <f ca="1">SLOPE(INDIRECT($D$9):G977,INDIRECT($C$9):F977)</f>
        <v>-5.7798103028310524E-6</v>
      </c>
      <c r="D12" s="3"/>
      <c r="E12" s="12"/>
    </row>
    <row r="13" spans="1:6" x14ac:dyDescent="0.2">
      <c r="A13" s="12" t="s">
        <v>26</v>
      </c>
      <c r="B13" s="12"/>
      <c r="C13" s="3" t="s">
        <v>21</v>
      </c>
    </row>
    <row r="14" spans="1:6" x14ac:dyDescent="0.2">
      <c r="A14" s="12"/>
      <c r="B14" s="12"/>
      <c r="C14" s="12"/>
    </row>
    <row r="15" spans="1:6" x14ac:dyDescent="0.2">
      <c r="A15" s="14" t="s">
        <v>25</v>
      </c>
      <c r="B15" s="12"/>
      <c r="C15" s="15">
        <f ca="1">(C7+C11)+(C8+C12)*INT(MAX(F21:F3518))</f>
        <v>59876.745972574383</v>
      </c>
      <c r="E15" s="16" t="s">
        <v>57</v>
      </c>
      <c r="F15" s="13">
        <v>1</v>
      </c>
    </row>
    <row r="16" spans="1:6" x14ac:dyDescent="0.2">
      <c r="A16" s="18" t="s">
        <v>12</v>
      </c>
      <c r="B16" s="12"/>
      <c r="C16" s="19">
        <f ca="1">+C8+C12</f>
        <v>0.31318622018969722</v>
      </c>
      <c r="E16" s="16" t="s">
        <v>40</v>
      </c>
      <c r="F16" s="17">
        <f ca="1">NOW()+15018.5+$C$5/24</f>
        <v>60170.74445706018</v>
      </c>
    </row>
    <row r="17" spans="1:21" ht="13.5" thickBot="1" x14ac:dyDescent="0.25">
      <c r="A17" s="16" t="s">
        <v>37</v>
      </c>
      <c r="B17" s="12"/>
      <c r="C17" s="12">
        <f>COUNT(C21:C2176)</f>
        <v>30</v>
      </c>
      <c r="E17" s="16" t="s">
        <v>58</v>
      </c>
      <c r="F17" s="17">
        <f ca="1">ROUND(2*(F16-$C$7)/$C$8,0)/2+F15</f>
        <v>24491.5</v>
      </c>
    </row>
    <row r="18" spans="1:21" ht="14.25" thickTop="1" thickBot="1" x14ac:dyDescent="0.25">
      <c r="A18" s="18" t="s">
        <v>13</v>
      </c>
      <c r="B18" s="12"/>
      <c r="C18" s="21">
        <f ca="1">+C15</f>
        <v>59876.745972574383</v>
      </c>
      <c r="D18" s="22">
        <f ca="1">+C16</f>
        <v>0.31318622018969722</v>
      </c>
      <c r="E18" s="16" t="s">
        <v>41</v>
      </c>
      <c r="F18" s="26">
        <f ca="1">ROUND(2*(F16-$C$15)/$C$16,0)/2+F15</f>
        <v>939.5</v>
      </c>
    </row>
    <row r="19" spans="1:21" ht="13.5" thickTop="1" x14ac:dyDescent="0.2">
      <c r="E19" s="16" t="s">
        <v>42</v>
      </c>
      <c r="F19" s="20">
        <f ca="1">+$C$15+$C$16*F18-15018.5-$C$5/24</f>
        <v>45152.880259775942</v>
      </c>
    </row>
    <row r="20" spans="1:21" ht="13.5" thickBot="1" x14ac:dyDescent="0.25">
      <c r="A20" s="4" t="s">
        <v>14</v>
      </c>
      <c r="B20" s="4" t="s">
        <v>15</v>
      </c>
      <c r="C20" s="4" t="s">
        <v>16</v>
      </c>
      <c r="D20" s="4" t="s">
        <v>20</v>
      </c>
      <c r="E20" s="4" t="s">
        <v>17</v>
      </c>
      <c r="F20" s="4" t="s">
        <v>18</v>
      </c>
      <c r="G20" s="4" t="s">
        <v>19</v>
      </c>
      <c r="H20" s="7" t="s">
        <v>8</v>
      </c>
      <c r="I20" s="7" t="s">
        <v>63</v>
      </c>
      <c r="J20" s="7" t="s">
        <v>6</v>
      </c>
      <c r="K20" s="7" t="s">
        <v>61</v>
      </c>
      <c r="L20" s="7" t="s">
        <v>33</v>
      </c>
      <c r="M20" s="7" t="s">
        <v>34</v>
      </c>
      <c r="N20" s="7" t="s">
        <v>35</v>
      </c>
      <c r="O20" s="7" t="s">
        <v>30</v>
      </c>
      <c r="P20" s="6" t="s">
        <v>29</v>
      </c>
      <c r="Q20" s="4" t="s">
        <v>22</v>
      </c>
      <c r="U20" s="46" t="s">
        <v>62</v>
      </c>
    </row>
    <row r="21" spans="1:21" x14ac:dyDescent="0.2">
      <c r="A21" s="34" t="s">
        <v>60</v>
      </c>
      <c r="B21" s="35" t="s">
        <v>45</v>
      </c>
      <c r="C21" s="34">
        <v>52242.387499999997</v>
      </c>
      <c r="D21" s="34" t="s">
        <v>61</v>
      </c>
      <c r="E21">
        <f>+(C21-C$7)/C$8</f>
        <v>-824.12098648753772</v>
      </c>
      <c r="F21">
        <f>ROUND(2*E21,0)/2</f>
        <v>-824</v>
      </c>
      <c r="K21">
        <f>+U21</f>
        <v>-3.7892000007559545E-2</v>
      </c>
      <c r="Q21" s="2">
        <f>+C21-15018.5</f>
        <v>37223.887499999997</v>
      </c>
      <c r="R21" t="e">
        <v>#N/A</v>
      </c>
      <c r="U21" s="10">
        <f>+C21-(C$7+F21*C$8)</f>
        <v>-3.7892000007559545E-2</v>
      </c>
    </row>
    <row r="22" spans="1:21" x14ac:dyDescent="0.2">
      <c r="A22" s="34" t="s">
        <v>60</v>
      </c>
      <c r="B22" s="35" t="s">
        <v>45</v>
      </c>
      <c r="C22" s="34">
        <v>52243.3266</v>
      </c>
      <c r="D22" s="34" t="s">
        <v>61</v>
      </c>
      <c r="E22">
        <f>+(C22-C$7)/C$8</f>
        <v>-821.12250632200585</v>
      </c>
      <c r="F22">
        <f>ROUND(2*E22,0)/2</f>
        <v>-821</v>
      </c>
      <c r="K22">
        <f>+U22</f>
        <v>-3.836800000135554E-2</v>
      </c>
      <c r="Q22" s="2">
        <f>+C22-15018.5</f>
        <v>37224.8266</v>
      </c>
      <c r="U22" s="10">
        <f>+C22-(C$7+F22*C$8)</f>
        <v>-3.836800000135554E-2</v>
      </c>
    </row>
    <row r="23" spans="1:21" x14ac:dyDescent="0.2">
      <c r="A23" s="34" t="s">
        <v>60</v>
      </c>
      <c r="B23" s="35" t="s">
        <v>52</v>
      </c>
      <c r="C23" s="34">
        <v>52244.421000000002</v>
      </c>
      <c r="D23" s="34" t="s">
        <v>61</v>
      </c>
      <c r="E23">
        <f>+(C23-C$7)/C$8</f>
        <v>-817.62816419321018</v>
      </c>
      <c r="F23">
        <f>ROUND(2*E23,0)/2</f>
        <v>-817.5</v>
      </c>
      <c r="K23">
        <f>+U23</f>
        <v>-4.0139999997336417E-2</v>
      </c>
      <c r="Q23" s="2">
        <f>+C23-15018.5</f>
        <v>37225.921000000002</v>
      </c>
      <c r="U23" s="10">
        <f>+C23-(C$7+F23*C$8)</f>
        <v>-4.0139999997336417E-2</v>
      </c>
    </row>
    <row r="24" spans="1:21" x14ac:dyDescent="0.2">
      <c r="A24" s="34" t="s">
        <v>60</v>
      </c>
      <c r="B24" s="35" t="s">
        <v>52</v>
      </c>
      <c r="C24" s="34">
        <v>52254.445</v>
      </c>
      <c r="D24" s="34" t="s">
        <v>61</v>
      </c>
      <c r="E24">
        <f>+(C24-C$7)/C$8</f>
        <v>-785.62223811592344</v>
      </c>
      <c r="F24">
        <f>ROUND(2*E24,0)/2</f>
        <v>-785.5</v>
      </c>
      <c r="K24">
        <f>+U24</f>
        <v>-3.8284000002022367E-2</v>
      </c>
      <c r="Q24" s="2">
        <f>+C24-15018.5</f>
        <v>37235.945</v>
      </c>
      <c r="U24" s="10">
        <f>+C24-(C$7+F24*C$8)</f>
        <v>-3.8284000002022367E-2</v>
      </c>
    </row>
    <row r="25" spans="1:21" x14ac:dyDescent="0.2">
      <c r="A25" s="34" t="s">
        <v>60</v>
      </c>
      <c r="B25" s="35" t="s">
        <v>45</v>
      </c>
      <c r="C25" s="34">
        <v>52256.323300000004</v>
      </c>
      <c r="D25" s="34" t="s">
        <v>61</v>
      </c>
      <c r="E25">
        <f>+(C25-C$7)/C$8</f>
        <v>-779.62495849191021</v>
      </c>
      <c r="F25">
        <f>ROUND(2*E25,0)/2</f>
        <v>-779.5</v>
      </c>
      <c r="K25">
        <f>+U25</f>
        <v>-3.9135999999416526E-2</v>
      </c>
      <c r="Q25" s="2">
        <f>+C25-15018.5</f>
        <v>37237.823300000004</v>
      </c>
      <c r="U25" s="10">
        <f>+C25-(C$7+F25*C$8)</f>
        <v>-3.9135999999416526E-2</v>
      </c>
    </row>
    <row r="26" spans="1:21" x14ac:dyDescent="0.2">
      <c r="A26" s="32" t="s">
        <v>47</v>
      </c>
      <c r="B26" s="31" t="s">
        <v>45</v>
      </c>
      <c r="C26" s="32">
        <v>52500.495600000002</v>
      </c>
      <c r="D26" s="32"/>
      <c r="E26">
        <f>+(C26-C$7)/C$8</f>
        <v>0</v>
      </c>
      <c r="F26">
        <f>ROUND(2*E26,0)/2</f>
        <v>0</v>
      </c>
      <c r="G26" s="10">
        <f>+C26-(C$7+F26*C$8)</f>
        <v>0</v>
      </c>
      <c r="K26">
        <f>+G26</f>
        <v>0</v>
      </c>
      <c r="Q26" s="2">
        <f>+C26-15018.5</f>
        <v>37481.995600000002</v>
      </c>
      <c r="U26" s="10"/>
    </row>
    <row r="27" spans="1:21" x14ac:dyDescent="0.2">
      <c r="A27" s="38" t="s">
        <v>65</v>
      </c>
      <c r="B27" s="39" t="s">
        <v>45</v>
      </c>
      <c r="C27" s="40">
        <v>54505.406000000003</v>
      </c>
      <c r="D27" s="40">
        <v>5.0000000000000001E-3</v>
      </c>
      <c r="E27">
        <f>+(C27-C$7)/C$8</f>
        <v>6401.5377148841617</v>
      </c>
      <c r="F27">
        <f>ROUND(2*E27,0)/2</f>
        <v>6401.5</v>
      </c>
      <c r="G27" s="10">
        <f>+C27-(C$7+F27*C$8)</f>
        <v>1.1811999997007661E-2</v>
      </c>
      <c r="I27">
        <f>+G27</f>
        <v>1.1811999997007661E-2</v>
      </c>
      <c r="K27">
        <f>+G27</f>
        <v>1.1811999997007661E-2</v>
      </c>
      <c r="Q27" s="2">
        <f>+C27-15018.5</f>
        <v>39486.906000000003</v>
      </c>
    </row>
    <row r="28" spans="1:21" x14ac:dyDescent="0.2">
      <c r="A28" s="38" t="s">
        <v>65</v>
      </c>
      <c r="B28" s="39" t="s">
        <v>52</v>
      </c>
      <c r="C28" s="40">
        <v>54505.563999999998</v>
      </c>
      <c r="D28" s="40">
        <v>7.0000000000000001E-3</v>
      </c>
      <c r="E28">
        <f>+(C28-C$7)/C$8</f>
        <v>6402.0421977572742</v>
      </c>
      <c r="F28">
        <f>ROUND(2*E28,0)/2</f>
        <v>6402</v>
      </c>
      <c r="G28" s="10">
        <f>+C28-(C$7+F28*C$8)</f>
        <v>1.3215999999374617E-2</v>
      </c>
      <c r="I28">
        <f>+G28</f>
        <v>1.3215999999374617E-2</v>
      </c>
      <c r="K28">
        <f>+G28</f>
        <v>1.3215999999374617E-2</v>
      </c>
      <c r="Q28" s="2">
        <f>+C28-15018.5</f>
        <v>39487.063999999998</v>
      </c>
    </row>
    <row r="29" spans="1:21" x14ac:dyDescent="0.2">
      <c r="A29" s="32" t="s">
        <v>51</v>
      </c>
      <c r="B29" s="31" t="s">
        <v>52</v>
      </c>
      <c r="C29" s="32">
        <v>54821.8874</v>
      </c>
      <c r="D29" s="32">
        <v>2.0000000000000001E-4</v>
      </c>
      <c r="E29">
        <f>+(C29-C$7)/C$8</f>
        <v>7412.040537433898</v>
      </c>
      <c r="F29">
        <f>ROUND(2*E29,0)/2</f>
        <v>7412</v>
      </c>
      <c r="G29" s="10">
        <f>+C29-(C$7+F29*C$8)</f>
        <v>1.2695999997959007E-2</v>
      </c>
      <c r="K29">
        <f>+G29</f>
        <v>1.2695999997959007E-2</v>
      </c>
      <c r="Q29" s="2">
        <f>+C29-15018.5</f>
        <v>39803.3874</v>
      </c>
      <c r="U29" s="10"/>
    </row>
    <row r="30" spans="1:21" x14ac:dyDescent="0.2">
      <c r="A30" s="34" t="s">
        <v>53</v>
      </c>
      <c r="B30" s="35" t="s">
        <v>45</v>
      </c>
      <c r="C30" s="34">
        <v>55181.902000000002</v>
      </c>
      <c r="D30" s="34">
        <v>5.9999999999999995E-4</v>
      </c>
      <c r="E30">
        <f>+(C30-C$7)/C$8</f>
        <v>8561.541801834017</v>
      </c>
      <c r="F30">
        <f>ROUND(2*E30,0)/2</f>
        <v>8561.5</v>
      </c>
      <c r="G30" s="10">
        <f>+C30-(C$7+F30*C$8)</f>
        <v>1.3092000001051929E-2</v>
      </c>
      <c r="I30">
        <f>+G30</f>
        <v>1.3092000001051929E-2</v>
      </c>
      <c r="K30">
        <f>+G30</f>
        <v>1.3092000001051929E-2</v>
      </c>
      <c r="Q30" s="2">
        <f>+C30-15018.5</f>
        <v>40163.402000000002</v>
      </c>
    </row>
    <row r="31" spans="1:21" x14ac:dyDescent="0.2">
      <c r="A31" s="57" t="s">
        <v>59</v>
      </c>
      <c r="B31" s="31" t="s">
        <v>52</v>
      </c>
      <c r="C31" s="32">
        <v>55255.341070000002</v>
      </c>
      <c r="D31" s="32">
        <v>2.9999999999999997E-4</v>
      </c>
      <c r="E31">
        <f>+(C31-C$7)/C$8</f>
        <v>8796.0275805256842</v>
      </c>
      <c r="F31">
        <f>ROUND(2*E31,0)/2</f>
        <v>8796</v>
      </c>
      <c r="G31" s="10">
        <f>+C31-(C$7+F31*C$8)</f>
        <v>8.6379999993368983E-3</v>
      </c>
      <c r="K31">
        <f>+G31</f>
        <v>8.6379999993368983E-3</v>
      </c>
      <c r="Q31" s="2">
        <f>+C31-15018.5</f>
        <v>40236.841070000002</v>
      </c>
    </row>
    <row r="32" spans="1:21" x14ac:dyDescent="0.2">
      <c r="A32" s="57" t="s">
        <v>55</v>
      </c>
      <c r="B32" s="31" t="s">
        <v>45</v>
      </c>
      <c r="C32" s="32">
        <v>55559.921600000001</v>
      </c>
      <c r="D32" s="32">
        <v>2.0000000000000001E-4</v>
      </c>
      <c r="E32">
        <f>+(C32-C$7)/C$8</f>
        <v>9768.5317632634269</v>
      </c>
      <c r="F32">
        <f>ROUND(2*E32,0)/2</f>
        <v>9768.5</v>
      </c>
      <c r="G32" s="10">
        <f>+C32-(C$7+F32*C$8)</f>
        <v>9.9479999989853241E-3</v>
      </c>
      <c r="K32">
        <f>+G32</f>
        <v>9.9479999989853241E-3</v>
      </c>
      <c r="O32">
        <f ca="1">+C$11+C$12*$F32</f>
        <v>3.2054589690017704E-2</v>
      </c>
      <c r="Q32" s="2">
        <f>+C32-15018.5</f>
        <v>40541.421600000001</v>
      </c>
      <c r="U32" s="10"/>
    </row>
    <row r="33" spans="1:21" x14ac:dyDescent="0.2">
      <c r="A33" s="58" t="s">
        <v>1</v>
      </c>
      <c r="B33" s="59" t="s">
        <v>52</v>
      </c>
      <c r="C33" s="58">
        <v>56706.050600000191</v>
      </c>
      <c r="D33" s="58" t="s">
        <v>69</v>
      </c>
      <c r="E33">
        <f>+(C33-C$7)/C$8</f>
        <v>13428.040946129497</v>
      </c>
      <c r="F33">
        <f>ROUND(2*E33,0)/2</f>
        <v>13428</v>
      </c>
      <c r="G33" s="10">
        <f>+C33-(C$7+F33*C$8)</f>
        <v>1.2824000186810736E-2</v>
      </c>
      <c r="K33">
        <f>+G33</f>
        <v>1.2824000186810736E-2</v>
      </c>
      <c r="O33">
        <f ca="1">+C$11+C$12*$F33</f>
        <v>1.0903373886807469E-2</v>
      </c>
      <c r="Q33" s="2">
        <f>+C33-15018.5</f>
        <v>41687.550600000191</v>
      </c>
    </row>
    <row r="34" spans="1:21" x14ac:dyDescent="0.2">
      <c r="A34" s="58" t="s">
        <v>1</v>
      </c>
      <c r="B34" s="59" t="s">
        <v>52</v>
      </c>
      <c r="C34" s="58">
        <v>56706.052600000054</v>
      </c>
      <c r="D34" s="58" t="s">
        <v>2</v>
      </c>
      <c r="E34">
        <f>+(C34-C$7)/C$8</f>
        <v>13428.047331988209</v>
      </c>
      <c r="F34">
        <f>ROUND(2*E34,0)/2</f>
        <v>13428</v>
      </c>
      <c r="G34" s="10">
        <f>+C34-(C$7+F34*C$8)</f>
        <v>1.4824000048974995E-2</v>
      </c>
      <c r="K34">
        <f>+G34</f>
        <v>1.4824000048974995E-2</v>
      </c>
      <c r="O34">
        <f ca="1">+C$11+C$12*$F34</f>
        <v>1.0903373886807469E-2</v>
      </c>
      <c r="Q34" s="2">
        <f>+C34-15018.5</f>
        <v>41687.552600000054</v>
      </c>
    </row>
    <row r="35" spans="1:21" x14ac:dyDescent="0.2">
      <c r="A35" s="58" t="s">
        <v>4</v>
      </c>
      <c r="B35" s="59"/>
      <c r="C35" s="58">
        <v>57032.078799999865</v>
      </c>
      <c r="D35" s="58"/>
      <c r="E35">
        <f>+(C35-C$7)/C$8</f>
        <v>14469.026028761469</v>
      </c>
      <c r="F35">
        <f>ROUND(2*E35,0)/2</f>
        <v>14469</v>
      </c>
      <c r="G35" s="10">
        <f>+C35-(C$7+F35*C$8)</f>
        <v>8.1519998639123514E-3</v>
      </c>
      <c r="K35">
        <f>+G35</f>
        <v>8.1519998639123514E-3</v>
      </c>
      <c r="O35">
        <f ca="1">+C$11+C$12*$F35</f>
        <v>4.8865913615603468E-3</v>
      </c>
      <c r="Q35" s="2">
        <f>+C35-15018.5</f>
        <v>42013.578799999865</v>
      </c>
    </row>
    <row r="36" spans="1:21" x14ac:dyDescent="0.2">
      <c r="A36" s="60" t="s">
        <v>64</v>
      </c>
      <c r="B36" s="59"/>
      <c r="C36" s="58">
        <v>57032.238700000067</v>
      </c>
      <c r="D36" s="58"/>
      <c r="E36">
        <f>+(C36-C$7)/C$8</f>
        <v>14469.536578201438</v>
      </c>
      <c r="F36">
        <f>ROUND(2*E36,0)/2</f>
        <v>14469.5</v>
      </c>
      <c r="G36" s="10">
        <f>+C36-(C$7+F36*C$8)</f>
        <v>1.1456000065663829E-2</v>
      </c>
      <c r="K36">
        <f>+G36</f>
        <v>1.1456000065663829E-2</v>
      </c>
      <c r="O36">
        <f ca="1">+C$11+C$12*$F36</f>
        <v>4.8837014564089287E-3</v>
      </c>
      <c r="Q36" s="2">
        <f>+C36-15018.5</f>
        <v>42013.738700000067</v>
      </c>
    </row>
    <row r="37" spans="1:21" x14ac:dyDescent="0.2">
      <c r="A37" s="58" t="s">
        <v>4</v>
      </c>
      <c r="B37" s="59"/>
      <c r="C37" s="58">
        <v>57066.060599999975</v>
      </c>
      <c r="D37" s="58"/>
      <c r="E37">
        <f>+(C37-C$7)/C$8</f>
        <v>14577.527523052864</v>
      </c>
      <c r="F37">
        <f>ROUND(2*E37,0)/2</f>
        <v>14577.5</v>
      </c>
      <c r="G37" s="10">
        <f>+C37-(C$7+F37*C$8)</f>
        <v>8.6199999714153819E-3</v>
      </c>
      <c r="K37">
        <f>+G37</f>
        <v>8.6199999714153819E-3</v>
      </c>
      <c r="O37">
        <f ca="1">+C$11+C$12*$F37</f>
        <v>4.2594819437031806E-3</v>
      </c>
      <c r="Q37" s="2">
        <f>+C37-15018.5</f>
        <v>42047.560599999975</v>
      </c>
    </row>
    <row r="38" spans="1:21" x14ac:dyDescent="0.2">
      <c r="A38" s="60" t="s">
        <v>64</v>
      </c>
      <c r="B38" s="61"/>
      <c r="C38" s="58">
        <v>57358.1049000001</v>
      </c>
      <c r="D38" s="32"/>
      <c r="E38">
        <f>+(C38-C$7)/C$8</f>
        <v>15510.004406243128</v>
      </c>
      <c r="F38">
        <f>ROUND(2*E38,0)/2</f>
        <v>15510</v>
      </c>
      <c r="G38" s="10">
        <f>+C38-(C$7+F38*C$8)</f>
        <v>1.3800000961055048E-3</v>
      </c>
      <c r="K38">
        <f>+G38</f>
        <v>1.3800000961055048E-3</v>
      </c>
      <c r="O38">
        <f ca="1">+C$11+C$12*$F38</f>
        <v>-1.1301911636867751E-3</v>
      </c>
      <c r="Q38" s="2">
        <f>+C38-15018.5</f>
        <v>42339.6049000001</v>
      </c>
      <c r="U38" s="10"/>
    </row>
    <row r="39" spans="1:21" x14ac:dyDescent="0.2">
      <c r="A39" s="34" t="s">
        <v>67</v>
      </c>
      <c r="B39" s="35" t="s">
        <v>52</v>
      </c>
      <c r="C39" s="75">
        <v>57431.7048</v>
      </c>
      <c r="D39" s="32">
        <v>2.0000000000000001E-4</v>
      </c>
      <c r="E39">
        <f>+(C39-C$7)/C$8</f>
        <v>15745.0037037983</v>
      </c>
      <c r="F39">
        <f>ROUND(2*E39,0)/2</f>
        <v>15745</v>
      </c>
      <c r="G39" s="10">
        <f>+C39-(C$7+F39*C$8)</f>
        <v>1.1599999997997656E-3</v>
      </c>
      <c r="K39">
        <f>+G39</f>
        <v>1.1599999997997656E-3</v>
      </c>
      <c r="O39">
        <f ca="1">+C$11+C$12*$F39</f>
        <v>-2.4884465848520748E-3</v>
      </c>
      <c r="Q39" s="2">
        <f>+C39-15018.5</f>
        <v>42413.2048</v>
      </c>
    </row>
    <row r="40" spans="1:21" x14ac:dyDescent="0.2">
      <c r="A40" s="61" t="s">
        <v>68</v>
      </c>
      <c r="B40" s="31" t="s">
        <v>45</v>
      </c>
      <c r="C40" s="76">
        <v>57784.034899999999</v>
      </c>
      <c r="D40" s="62" t="s">
        <v>69</v>
      </c>
      <c r="E40">
        <f>+(C40-C$7)/C$8</f>
        <v>16869.968900865912</v>
      </c>
      <c r="F40">
        <f>ROUND(2*E40,0)/2</f>
        <v>16870</v>
      </c>
      <c r="G40" s="10">
        <f>+C40-(C$7+F40*C$8)</f>
        <v>-9.740000001329463E-3</v>
      </c>
      <c r="K40">
        <f>+G40</f>
        <v>-9.740000001329463E-3</v>
      </c>
      <c r="O40">
        <f ca="1">+C$11+C$12*$F40</f>
        <v>-8.9907331755370162E-3</v>
      </c>
      <c r="Q40" s="2">
        <f>+C40-15018.5</f>
        <v>42765.534899999999</v>
      </c>
    </row>
    <row r="41" spans="1:21" x14ac:dyDescent="0.2">
      <c r="A41" s="58" t="s">
        <v>3</v>
      </c>
      <c r="B41" s="63" t="s">
        <v>45</v>
      </c>
      <c r="C41" s="77">
        <v>57798.2811</v>
      </c>
      <c r="D41" s="63">
        <v>2E-3</v>
      </c>
      <c r="E41">
        <f>+(C41-C$7)/C$8</f>
        <v>16915.456014202144</v>
      </c>
      <c r="F41">
        <f>ROUND(2*E41,0)/2</f>
        <v>16915.5</v>
      </c>
      <c r="G41" s="10">
        <f>+C41-(C$7+F41*C$8)</f>
        <v>-1.3775999999779742E-2</v>
      </c>
      <c r="K41">
        <f>+G41</f>
        <v>-1.3775999999779742E-2</v>
      </c>
      <c r="O41">
        <f ca="1">+C$11+C$12*$F41</f>
        <v>-9.2537145443158247E-3</v>
      </c>
      <c r="Q41" s="2">
        <f>+C41-15018.5</f>
        <v>42779.7811</v>
      </c>
    </row>
    <row r="42" spans="1:21" x14ac:dyDescent="0.2">
      <c r="A42" s="58" t="s">
        <v>3</v>
      </c>
      <c r="B42" s="63" t="s">
        <v>45</v>
      </c>
      <c r="C42" s="77">
        <v>57798.4401</v>
      </c>
      <c r="D42" s="63">
        <v>1.5E-3</v>
      </c>
      <c r="E42">
        <f>+(C42-C$7)/C$8</f>
        <v>16915.963690004846</v>
      </c>
      <c r="F42">
        <f>ROUND(2*E42,0)/2</f>
        <v>16916</v>
      </c>
      <c r="G42" s="10">
        <f>+C42-(C$7+F42*C$8)</f>
        <v>-1.1372000000847038E-2</v>
      </c>
      <c r="K42">
        <f>+G42</f>
        <v>-1.1372000000847038E-2</v>
      </c>
      <c r="O42">
        <f ca="1">+C$11+C$12*$F42</f>
        <v>-9.2566044494672428E-3</v>
      </c>
      <c r="Q42" s="2">
        <f>+C42-15018.5</f>
        <v>42779.9401</v>
      </c>
    </row>
    <row r="43" spans="1:21" x14ac:dyDescent="0.2">
      <c r="A43" s="64" t="s">
        <v>74</v>
      </c>
      <c r="B43" s="36" t="s">
        <v>52</v>
      </c>
      <c r="C43" s="78">
        <v>57799.692199999998</v>
      </c>
      <c r="D43" s="37">
        <v>2.0000000000000001E-4</v>
      </c>
      <c r="E43">
        <f>+(C43-C$7)/C$8</f>
        <v>16919.961557127881</v>
      </c>
      <c r="F43">
        <f>ROUND(2*E43,0)/2</f>
        <v>16920</v>
      </c>
      <c r="G43" s="10">
        <f>+C43-(C$7+F43*C$8)</f>
        <v>-1.2040000008710194E-2</v>
      </c>
      <c r="K43">
        <f>+G43</f>
        <v>-1.2040000008710194E-2</v>
      </c>
      <c r="O43">
        <f ca="1">+C$11+C$12*$F43</f>
        <v>-9.2797236906785596E-3</v>
      </c>
      <c r="Q43" s="2">
        <f>+C43-15018.5</f>
        <v>42781.192199999998</v>
      </c>
    </row>
    <row r="44" spans="1:21" ht="12" customHeight="1" x14ac:dyDescent="0.2">
      <c r="A44" s="58" t="s">
        <v>0</v>
      </c>
      <c r="B44" s="59" t="s">
        <v>52</v>
      </c>
      <c r="C44" s="79">
        <v>58152.651599999997</v>
      </c>
      <c r="D44" s="58">
        <v>2.0000000000000001E-4</v>
      </c>
      <c r="E44">
        <f>+(C44-C$7)/C$8</f>
        <v>18046.93606477814</v>
      </c>
      <c r="F44">
        <f>ROUND(2*E44,0)/2</f>
        <v>18047</v>
      </c>
      <c r="G44" s="10">
        <f>+C44-(C$7+F44*C$8)</f>
        <v>-2.0024000004923437E-2</v>
      </c>
      <c r="K44">
        <f>+G44</f>
        <v>-2.0024000004923437E-2</v>
      </c>
      <c r="O44">
        <f ca="1">+C$11+C$12*$F44</f>
        <v>-1.5793569901969159E-2</v>
      </c>
      <c r="Q44" s="2">
        <f>+C44-15018.5</f>
        <v>43134.151599999997</v>
      </c>
    </row>
    <row r="45" spans="1:21" ht="12" customHeight="1" x14ac:dyDescent="0.2">
      <c r="A45" s="65" t="s">
        <v>70</v>
      </c>
      <c r="B45" s="66" t="s">
        <v>52</v>
      </c>
      <c r="C45" s="80">
        <v>58540.686399999999</v>
      </c>
      <c r="D45" s="67">
        <v>1E-4</v>
      </c>
      <c r="E45">
        <f>+(C45-C$7)/C$8</f>
        <v>19285.903854504573</v>
      </c>
      <c r="F45">
        <f>ROUND(2*E45,0)/2</f>
        <v>19286</v>
      </c>
      <c r="G45" s="10">
        <f>+C45-(C$7+F45*C$8)</f>
        <v>-3.0112000000372063E-2</v>
      </c>
      <c r="K45">
        <f>+G45</f>
        <v>-3.0112000000372063E-2</v>
      </c>
      <c r="O45">
        <f ca="1">+C$11+C$12*$F45</f>
        <v>-2.2954754867176838E-2</v>
      </c>
      <c r="Q45" s="2">
        <f>+C45-15018.5</f>
        <v>43522.186399999999</v>
      </c>
    </row>
    <row r="46" spans="1:21" ht="12" customHeight="1" x14ac:dyDescent="0.2">
      <c r="A46" s="69" t="s">
        <v>72</v>
      </c>
      <c r="B46" s="70" t="s">
        <v>45</v>
      </c>
      <c r="C46" s="74">
        <v>58540.686399999999</v>
      </c>
      <c r="D46" s="69">
        <v>1E-4</v>
      </c>
      <c r="E46">
        <f>+(C46-C$7)/C$8</f>
        <v>19285.903854504573</v>
      </c>
      <c r="F46">
        <f>ROUND(2*E46,0)/2</f>
        <v>19286</v>
      </c>
      <c r="G46" s="10">
        <f>+C46-(C$7+F46*C$8)</f>
        <v>-3.0112000000372063E-2</v>
      </c>
      <c r="K46">
        <f>+G46</f>
        <v>-3.0112000000372063E-2</v>
      </c>
      <c r="O46">
        <f ca="1">+C$11+C$12*$F46</f>
        <v>-2.2954754867176838E-2</v>
      </c>
      <c r="Q46" s="2">
        <f>+C46-15018.5</f>
        <v>43522.186399999999</v>
      </c>
    </row>
    <row r="47" spans="1:21" ht="12" customHeight="1" x14ac:dyDescent="0.2">
      <c r="A47" s="68" t="s">
        <v>71</v>
      </c>
      <c r="B47" s="36" t="s">
        <v>45</v>
      </c>
      <c r="C47" s="78">
        <v>58872.638899999998</v>
      </c>
      <c r="D47" s="37">
        <v>2.0000000000000001E-4</v>
      </c>
      <c r="E47">
        <f>+(C47-C$7)/C$8</f>
        <v>20345.8048098291</v>
      </c>
      <c r="F47">
        <f>ROUND(2*E47,0)/2</f>
        <v>20346</v>
      </c>
      <c r="G47" s="10">
        <f>+C47-(C$7+F47*C$8)</f>
        <v>-6.1132000002544373E-2</v>
      </c>
      <c r="K47">
        <f>+G47</f>
        <v>-6.1132000002544373E-2</v>
      </c>
      <c r="O47">
        <f ca="1">+C$11+C$12*$F47</f>
        <v>-2.908135378817775E-2</v>
      </c>
      <c r="Q47" s="2">
        <f>+C47-15018.5</f>
        <v>43854.138899999998</v>
      </c>
    </row>
    <row r="48" spans="1:21" ht="12" customHeight="1" x14ac:dyDescent="0.2">
      <c r="A48" s="69" t="s">
        <v>73</v>
      </c>
      <c r="B48" s="70" t="s">
        <v>45</v>
      </c>
      <c r="C48" s="74">
        <v>59240.046899999958</v>
      </c>
      <c r="D48" s="69" t="s">
        <v>2</v>
      </c>
      <c r="E48">
        <f>+(C48-C$7)/C$8</f>
        <v>21518.91267976179</v>
      </c>
      <c r="F48">
        <f>ROUND(2*E48,0)/2</f>
        <v>21519</v>
      </c>
      <c r="G48" s="10">
        <f>+C48-(C$7+F48*C$8)</f>
        <v>-2.7348000046913512E-2</v>
      </c>
      <c r="K48">
        <f>+G48</f>
        <v>-2.7348000046913512E-2</v>
      </c>
      <c r="O48">
        <f ca="1">+C$11+C$12*$F48</f>
        <v>-3.5861071273398576E-2</v>
      </c>
      <c r="Q48" s="2">
        <f>+C48-15018.5</f>
        <v>44221.546899999958</v>
      </c>
    </row>
    <row r="49" spans="1:17" ht="12" customHeight="1" x14ac:dyDescent="0.2">
      <c r="A49" s="73" t="s">
        <v>76</v>
      </c>
      <c r="B49" s="73" t="s">
        <v>45</v>
      </c>
      <c r="C49" s="81">
        <v>59855.618900000118</v>
      </c>
      <c r="D49" s="69">
        <v>5.0000000000000001E-4</v>
      </c>
      <c r="E49">
        <f>+(C49-C$7)/C$8</f>
        <v>23484.390725178531</v>
      </c>
      <c r="F49">
        <f>ROUND(2*E49,0)/2</f>
        <v>23484.5</v>
      </c>
      <c r="G49" s="10">
        <f>+C49-(C$7+F49*C$8)</f>
        <v>-3.4223999886307865E-2</v>
      </c>
      <c r="K49">
        <f>+G49</f>
        <v>-3.4223999886307865E-2</v>
      </c>
      <c r="O49">
        <f ca="1">+C$11+C$12*$F49</f>
        <v>-4.722128842361302E-2</v>
      </c>
      <c r="Q49" s="2">
        <f>+C49-15018.5</f>
        <v>44837.118900000118</v>
      </c>
    </row>
    <row r="50" spans="1:17" ht="12" customHeight="1" x14ac:dyDescent="0.2">
      <c r="A50" s="71" t="s">
        <v>75</v>
      </c>
      <c r="B50" s="72" t="s">
        <v>45</v>
      </c>
      <c r="C50" s="74">
        <v>59876.9156</v>
      </c>
      <c r="D50" s="69">
        <v>5.9999999999999995E-4</v>
      </c>
      <c r="E50">
        <f>+(C50-C$7)/C$8</f>
        <v>23552.389588495229</v>
      </c>
      <c r="F50">
        <f>ROUND(2*E50,0)/2</f>
        <v>23552.5</v>
      </c>
      <c r="G50" s="10">
        <f>+C50-(C$7+F50*C$8)</f>
        <v>-3.4579999999550637E-2</v>
      </c>
      <c r="K50">
        <f>+G50</f>
        <v>-3.4579999999550637E-2</v>
      </c>
      <c r="O50">
        <f ca="1">+C$11+C$12*$F50</f>
        <v>-4.7614315524205517E-2</v>
      </c>
      <c r="Q50" s="2">
        <f>+C50-15018.5</f>
        <v>44858.4156</v>
      </c>
    </row>
    <row r="51" spans="1:17" ht="12" customHeight="1" x14ac:dyDescent="0.2">
      <c r="C51" s="82"/>
      <c r="D51" s="10"/>
    </row>
    <row r="52" spans="1:17" ht="12" customHeight="1" x14ac:dyDescent="0.2">
      <c r="C52" s="82"/>
      <c r="D52" s="10"/>
    </row>
    <row r="53" spans="1:17" x14ac:dyDescent="0.2">
      <c r="C53" s="82"/>
      <c r="D53" s="10"/>
    </row>
    <row r="54" spans="1:17" x14ac:dyDescent="0.2">
      <c r="C54" s="82"/>
      <c r="D54" s="10"/>
    </row>
    <row r="55" spans="1:17" x14ac:dyDescent="0.2">
      <c r="C55" s="82"/>
      <c r="D55" s="10"/>
    </row>
    <row r="56" spans="1:17" x14ac:dyDescent="0.2">
      <c r="C56" s="10"/>
      <c r="D56" s="10"/>
    </row>
    <row r="57" spans="1:17" x14ac:dyDescent="0.2">
      <c r="C57" s="10"/>
      <c r="D57" s="10"/>
    </row>
    <row r="58" spans="1:17" x14ac:dyDescent="0.2">
      <c r="C58" s="10"/>
      <c r="D58" s="10"/>
    </row>
    <row r="59" spans="1:17" x14ac:dyDescent="0.2">
      <c r="C59" s="10"/>
      <c r="D59" s="10"/>
    </row>
    <row r="60" spans="1:17" x14ac:dyDescent="0.2">
      <c r="C60" s="10"/>
      <c r="D60" s="10"/>
    </row>
    <row r="61" spans="1:17" x14ac:dyDescent="0.2">
      <c r="C61" s="10"/>
      <c r="D61" s="10"/>
    </row>
    <row r="62" spans="1:17" x14ac:dyDescent="0.2">
      <c r="C62" s="10"/>
      <c r="D62" s="10"/>
    </row>
    <row r="63" spans="1:17" x14ac:dyDescent="0.2">
      <c r="C63" s="10"/>
      <c r="D63" s="10"/>
    </row>
    <row r="64" spans="1:17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</sheetData>
  <protectedRanges>
    <protectedRange sqref="A44:D45" name="Range1"/>
  </protectedRanges>
  <sortState xmlns:xlrd2="http://schemas.microsoft.com/office/spreadsheetml/2017/richdata2" ref="A21:V50">
    <sortCondition ref="C21:C50"/>
  </sortState>
  <phoneticPr fontId="8" type="noConversion"/>
  <hyperlinks>
    <hyperlink ref="H1627" r:id="rId1" display="http://vsolj.cetus-net.org/bulletin.html" xr:uid="{00000000-0004-0000-0000-000000000000}"/>
    <hyperlink ref="H64868" r:id="rId2" display="http://vsolj.cetus-net.org/bulletin.html" xr:uid="{00000000-0004-0000-0000-000001000000}"/>
    <hyperlink ref="H64861" r:id="rId3" display="https://www.aavso.org/ejaavso" xr:uid="{00000000-0004-0000-0000-000002000000}"/>
    <hyperlink ref="AP1012" r:id="rId4" display="http://cdsbib.u-strasbg.fr/cgi-bin/cdsbib?1990RMxAA..21..381G" xr:uid="{00000000-0004-0000-0000-000003000000}"/>
    <hyperlink ref="AP1016" r:id="rId5" display="http://cdsbib.u-strasbg.fr/cgi-bin/cdsbib?1990RMxAA..21..381G" xr:uid="{00000000-0004-0000-0000-000004000000}"/>
    <hyperlink ref="AP1015" r:id="rId6" display="http://cdsbib.u-strasbg.fr/cgi-bin/cdsbib?1990RMxAA..21..381G" xr:uid="{00000000-0004-0000-0000-000005000000}"/>
    <hyperlink ref="AP996" r:id="rId7" display="http://cdsbib.u-strasbg.fr/cgi-bin/cdsbib?1990RMxAA..21..381G" xr:uid="{00000000-0004-0000-0000-000006000000}"/>
    <hyperlink ref="I64868" r:id="rId8" display="http://vsolj.cetus-net.org/bulletin.html" xr:uid="{00000000-0004-0000-0000-000007000000}"/>
    <hyperlink ref="AQ1152" r:id="rId9" display="http://cdsbib.u-strasbg.fr/cgi-bin/cdsbib?1990RMxAA..21..381G" xr:uid="{00000000-0004-0000-0000-000008000000}"/>
    <hyperlink ref="AQ55918" r:id="rId10" display="http://cdsbib.u-strasbg.fr/cgi-bin/cdsbib?1990RMxAA..21..381G" xr:uid="{00000000-0004-0000-0000-000009000000}"/>
    <hyperlink ref="AQ1153" r:id="rId11" display="http://cdsbib.u-strasbg.fr/cgi-bin/cdsbib?1990RMxAA..21..381G" xr:uid="{00000000-0004-0000-0000-00000A000000}"/>
    <hyperlink ref="H64865" r:id="rId12" display="https://www.aavso.org/ejaavso" xr:uid="{00000000-0004-0000-0000-00000B000000}"/>
    <hyperlink ref="H2038" r:id="rId13" display="http://vsolj.cetus-net.org/bulletin.html" xr:uid="{00000000-0004-0000-0000-00000C000000}"/>
    <hyperlink ref="AP3282" r:id="rId14" display="http://cdsbib.u-strasbg.fr/cgi-bin/cdsbib?1990RMxAA..21..381G" xr:uid="{00000000-0004-0000-0000-00000D000000}"/>
    <hyperlink ref="AP3285" r:id="rId15" display="http://cdsbib.u-strasbg.fr/cgi-bin/cdsbib?1990RMxAA..21..381G" xr:uid="{00000000-0004-0000-0000-00000E000000}"/>
    <hyperlink ref="AP3283" r:id="rId16" display="http://cdsbib.u-strasbg.fr/cgi-bin/cdsbib?1990RMxAA..21..381G" xr:uid="{00000000-0004-0000-0000-00000F000000}"/>
    <hyperlink ref="AP3267" r:id="rId17" display="http://cdsbib.u-strasbg.fr/cgi-bin/cdsbib?1990RMxAA..21..381G" xr:uid="{00000000-0004-0000-0000-000010000000}"/>
    <hyperlink ref="I2038" r:id="rId18" display="http://vsolj.cetus-net.org/bulletin.html" xr:uid="{00000000-0004-0000-0000-000011000000}"/>
    <hyperlink ref="AQ3496" r:id="rId19" display="http://cdsbib.u-strasbg.fr/cgi-bin/cdsbib?1990RMxAA..21..381G" xr:uid="{00000000-0004-0000-0000-000012000000}"/>
    <hyperlink ref="AQ197" r:id="rId20" display="http://cdsbib.u-strasbg.fr/cgi-bin/cdsbib?1990RMxAA..21..381G" xr:uid="{00000000-0004-0000-0000-000013000000}"/>
    <hyperlink ref="AQ3500" r:id="rId21" display="http://cdsbib.u-strasbg.fr/cgi-bin/cdsbib?1990RMxAA..21..381G" xr:uid="{00000000-0004-0000-0000-000014000000}"/>
    <hyperlink ref="H64536" r:id="rId22" display="http://vsolj.cetus-net.org/bulletin.html" xr:uid="{00000000-0004-0000-0000-000015000000}"/>
    <hyperlink ref="H64529" r:id="rId23" display="https://www.aavso.org/ejaavso" xr:uid="{00000000-0004-0000-0000-000016000000}"/>
    <hyperlink ref="I64536" r:id="rId24" display="http://vsolj.cetus-net.org/bulletin.html" xr:uid="{00000000-0004-0000-0000-000017000000}"/>
    <hyperlink ref="AQ58187" r:id="rId25" display="http://cdsbib.u-strasbg.fr/cgi-bin/cdsbib?1990RMxAA..21..381G" xr:uid="{00000000-0004-0000-0000-000018000000}"/>
    <hyperlink ref="H64533" r:id="rId26" display="https://www.aavso.org/ejaavso" xr:uid="{00000000-0004-0000-0000-000019000000}"/>
    <hyperlink ref="AP5551" r:id="rId27" display="http://cdsbib.u-strasbg.fr/cgi-bin/cdsbib?1990RMxAA..21..381G" xr:uid="{00000000-0004-0000-0000-00001A000000}"/>
    <hyperlink ref="AP5554" r:id="rId28" display="http://cdsbib.u-strasbg.fr/cgi-bin/cdsbib?1990RMxAA..21..381G" xr:uid="{00000000-0004-0000-0000-00001B000000}"/>
    <hyperlink ref="AP5552" r:id="rId29" display="http://cdsbib.u-strasbg.fr/cgi-bin/cdsbib?1990RMxAA..21..381G" xr:uid="{00000000-0004-0000-0000-00001C000000}"/>
    <hyperlink ref="AP5536" r:id="rId30" display="http://cdsbib.u-strasbg.fr/cgi-bin/cdsbib?1990RMxAA..21..381G" xr:uid="{00000000-0004-0000-0000-00001D000000}"/>
    <hyperlink ref="AQ5765" r:id="rId31" display="http://cdsbib.u-strasbg.fr/cgi-bin/cdsbib?1990RMxAA..21..381G" xr:uid="{00000000-0004-0000-0000-00001E000000}"/>
    <hyperlink ref="AQ5769" r:id="rId32" display="http://cdsbib.u-strasbg.fr/cgi-bin/cdsbib?1990RMxAA..21..381G" xr:uid="{00000000-0004-0000-0000-00001F000000}"/>
    <hyperlink ref="AQ65449" r:id="rId33" display="http://cdsbib.u-strasbg.fr/cgi-bin/cdsbib?1990RMxAA..21..381G" xr:uid="{00000000-0004-0000-0000-000020000000}"/>
    <hyperlink ref="I2657" r:id="rId34" display="http://vsolj.cetus-net.org/bulletin.html" xr:uid="{00000000-0004-0000-0000-000021000000}"/>
    <hyperlink ref="H2657" r:id="rId35" display="http://vsolj.cetus-net.org/bulletin.html" xr:uid="{00000000-0004-0000-0000-000022000000}"/>
    <hyperlink ref="AQ574" r:id="rId36" display="http://cdsbib.u-strasbg.fr/cgi-bin/cdsbib?1990RMxAA..21..381G" xr:uid="{00000000-0004-0000-0000-000023000000}"/>
    <hyperlink ref="AQ573" r:id="rId37" display="http://cdsbib.u-strasbg.fr/cgi-bin/cdsbib?1990RMxAA..21..381G" xr:uid="{00000000-0004-0000-0000-000024000000}"/>
    <hyperlink ref="AP3827" r:id="rId38" display="http://cdsbib.u-strasbg.fr/cgi-bin/cdsbib?1990RMxAA..21..381G" xr:uid="{00000000-0004-0000-0000-000025000000}"/>
    <hyperlink ref="AP3845" r:id="rId39" display="http://cdsbib.u-strasbg.fr/cgi-bin/cdsbib?1990RMxAA..21..381G" xr:uid="{00000000-0004-0000-0000-000026000000}"/>
    <hyperlink ref="AP3846" r:id="rId40" display="http://cdsbib.u-strasbg.fr/cgi-bin/cdsbib?1990RMxAA..21..381G" xr:uid="{00000000-0004-0000-0000-000027000000}"/>
    <hyperlink ref="AP3842" r:id="rId41" display="http://cdsbib.u-strasbg.fr/cgi-bin/cdsbib?1990RMxAA..21..381G" xr:uid="{00000000-0004-0000-0000-000028000000}"/>
  </hyperlinks>
  <pageMargins left="0.75" right="0.75" top="1" bottom="1" header="0.5" footer="0.5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08"/>
  <sheetViews>
    <sheetView workbookViewId="0">
      <selection activeCell="A49" sqref="A4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49</v>
      </c>
    </row>
    <row r="2" spans="1:6" x14ac:dyDescent="0.2">
      <c r="A2" t="s">
        <v>31</v>
      </c>
      <c r="B2" t="s">
        <v>50</v>
      </c>
      <c r="C2" s="10"/>
      <c r="D2" s="56" t="s">
        <v>5</v>
      </c>
    </row>
    <row r="3" spans="1:6" ht="13.5" thickBot="1" x14ac:dyDescent="0.25"/>
    <row r="4" spans="1:6" ht="14.25" thickTop="1" thickBot="1" x14ac:dyDescent="0.25">
      <c r="A4" s="5" t="s">
        <v>48</v>
      </c>
      <c r="C4" s="8">
        <v>52500.495600000002</v>
      </c>
      <c r="D4" s="9">
        <v>0.31313528000000002</v>
      </c>
    </row>
    <row r="5" spans="1:6" ht="13.5" thickTop="1" x14ac:dyDescent="0.2">
      <c r="A5" s="11" t="s">
        <v>38</v>
      </c>
      <c r="B5" s="12"/>
      <c r="C5" s="13">
        <v>8</v>
      </c>
      <c r="D5" s="12" t="s">
        <v>39</v>
      </c>
    </row>
    <row r="6" spans="1:6" x14ac:dyDescent="0.2">
      <c r="A6" s="5" t="s">
        <v>9</v>
      </c>
    </row>
    <row r="7" spans="1:6" x14ac:dyDescent="0.2">
      <c r="A7" t="s">
        <v>10</v>
      </c>
      <c r="C7">
        <f>C4</f>
        <v>52500.495600000002</v>
      </c>
      <c r="D7" t="s">
        <v>66</v>
      </c>
    </row>
    <row r="8" spans="1:6" x14ac:dyDescent="0.2">
      <c r="A8" t="s">
        <v>11</v>
      </c>
      <c r="C8">
        <v>0.31314999999999998</v>
      </c>
      <c r="D8" s="29" t="s">
        <v>7</v>
      </c>
    </row>
    <row r="9" spans="1:6" x14ac:dyDescent="0.2">
      <c r="A9" s="27" t="s">
        <v>44</v>
      </c>
      <c r="B9" s="28">
        <v>21</v>
      </c>
      <c r="C9" s="25" t="str">
        <f>"F"&amp;B9</f>
        <v>F21</v>
      </c>
      <c r="D9" s="26" t="str">
        <f>"G"&amp;B9</f>
        <v>G21</v>
      </c>
    </row>
    <row r="10" spans="1:6" ht="13.5" thickBot="1" x14ac:dyDescent="0.25">
      <c r="A10" s="12"/>
      <c r="B10" s="12"/>
      <c r="C10" s="4" t="s">
        <v>27</v>
      </c>
      <c r="D10" s="4" t="s">
        <v>28</v>
      </c>
      <c r="E10" s="12"/>
    </row>
    <row r="11" spans="1:6" x14ac:dyDescent="0.2">
      <c r="A11" s="12" t="s">
        <v>23</v>
      </c>
      <c r="B11" s="12"/>
      <c r="C11" s="24">
        <f ca="1">INTERCEPT(INDIRECT($D$9):G977,INDIRECT($C$9):F977)</f>
        <v>1.7039619057209243E-2</v>
      </c>
      <c r="D11" s="3"/>
      <c r="E11" s="12"/>
    </row>
    <row r="12" spans="1:6" x14ac:dyDescent="0.2">
      <c r="A12" s="12" t="s">
        <v>24</v>
      </c>
      <c r="B12" s="12"/>
      <c r="C12" s="24">
        <f ca="1">SLOPE(INDIRECT($D$9):G977,INDIRECT($C$9):F977)</f>
        <v>4.1328872159490958E-5</v>
      </c>
      <c r="D12" s="3"/>
      <c r="E12" s="12"/>
    </row>
    <row r="13" spans="1:6" x14ac:dyDescent="0.2">
      <c r="A13" s="12" t="s">
        <v>26</v>
      </c>
      <c r="B13" s="12"/>
      <c r="C13" s="3" t="s">
        <v>21</v>
      </c>
    </row>
    <row r="14" spans="1:6" x14ac:dyDescent="0.2">
      <c r="A14" s="12"/>
      <c r="B14" s="12"/>
      <c r="C14" s="12"/>
    </row>
    <row r="15" spans="1:6" x14ac:dyDescent="0.2">
      <c r="A15" s="14" t="s">
        <v>25</v>
      </c>
      <c r="B15" s="12"/>
      <c r="C15" s="15">
        <f ca="1">(C7+C11)+(C8+C12)*INT(MAX(F21:F3518))</f>
        <v>57358.110150426255</v>
      </c>
      <c r="E15" s="16" t="s">
        <v>57</v>
      </c>
      <c r="F15" s="13">
        <v>1</v>
      </c>
    </row>
    <row r="16" spans="1:6" x14ac:dyDescent="0.2">
      <c r="A16" s="18" t="s">
        <v>12</v>
      </c>
      <c r="B16" s="12"/>
      <c r="C16" s="19">
        <f ca="1">+C8+C12</f>
        <v>0.3131913288721595</v>
      </c>
      <c r="E16" s="16" t="s">
        <v>40</v>
      </c>
      <c r="F16" s="17">
        <f ca="1">NOW()+15018.5+$C$5/24</f>
        <v>60171.473623726852</v>
      </c>
    </row>
    <row r="17" spans="1:21" ht="13.5" thickBot="1" x14ac:dyDescent="0.25">
      <c r="A17" s="16" t="s">
        <v>37</v>
      </c>
      <c r="B17" s="12"/>
      <c r="C17" s="12">
        <f>COUNT(C21:C2176)</f>
        <v>16</v>
      </c>
      <c r="E17" s="16" t="s">
        <v>58</v>
      </c>
      <c r="F17" s="17">
        <f ca="1">ROUND(2*(F16-$C$7)/$C$8,0)/2+F15</f>
        <v>24497</v>
      </c>
    </row>
    <row r="18" spans="1:21" ht="14.25" thickTop="1" thickBot="1" x14ac:dyDescent="0.25">
      <c r="A18" s="18" t="s">
        <v>13</v>
      </c>
      <c r="B18" s="12"/>
      <c r="C18" s="21">
        <f ca="1">+C15</f>
        <v>57358.110150426255</v>
      </c>
      <c r="D18" s="22">
        <f ca="1">+C16</f>
        <v>0.3131913288721595</v>
      </c>
      <c r="E18" s="16" t="s">
        <v>41</v>
      </c>
      <c r="F18" s="26">
        <f ca="1">ROUND(2*(F16-$C$15)/$C$16,0)/2+F15</f>
        <v>8984</v>
      </c>
    </row>
    <row r="19" spans="1:21" ht="13.5" thickTop="1" x14ac:dyDescent="0.2">
      <c r="E19" s="16" t="s">
        <v>42</v>
      </c>
      <c r="F19" s="20">
        <f ca="1">+$C$15+$C$16*F18-15018.5-$C$5/24</f>
        <v>45152.9877156804</v>
      </c>
    </row>
    <row r="20" spans="1:21" ht="13.5" thickBot="1" x14ac:dyDescent="0.25">
      <c r="A20" s="4" t="s">
        <v>14</v>
      </c>
      <c r="B20" s="4" t="s">
        <v>15</v>
      </c>
      <c r="C20" s="4" t="s">
        <v>16</v>
      </c>
      <c r="D20" s="4" t="s">
        <v>20</v>
      </c>
      <c r="E20" s="4" t="s">
        <v>17</v>
      </c>
      <c r="F20" s="4" t="s">
        <v>18</v>
      </c>
      <c r="G20" s="4" t="s">
        <v>19</v>
      </c>
      <c r="H20" s="7" t="s">
        <v>8</v>
      </c>
      <c r="I20" s="7" t="s">
        <v>63</v>
      </c>
      <c r="J20" s="7" t="s">
        <v>6</v>
      </c>
      <c r="K20" s="7" t="s">
        <v>61</v>
      </c>
      <c r="L20" s="7" t="s">
        <v>33</v>
      </c>
      <c r="M20" s="7" t="s">
        <v>34</v>
      </c>
      <c r="N20" s="7" t="s">
        <v>35</v>
      </c>
      <c r="O20" s="7" t="s">
        <v>30</v>
      </c>
      <c r="P20" s="6" t="s">
        <v>29</v>
      </c>
      <c r="Q20" s="4" t="s">
        <v>22</v>
      </c>
      <c r="U20" s="46" t="s">
        <v>62</v>
      </c>
    </row>
    <row r="21" spans="1:21" x14ac:dyDescent="0.2">
      <c r="A21" s="34" t="s">
        <v>60</v>
      </c>
      <c r="B21" s="35" t="s">
        <v>45</v>
      </c>
      <c r="C21" s="34">
        <v>52242.387499999997</v>
      </c>
      <c r="D21" s="34" t="s">
        <v>61</v>
      </c>
      <c r="E21">
        <f t="shared" ref="E21:E36" si="0">+(C21-C$7)/C$8</f>
        <v>-824.23151844165716</v>
      </c>
      <c r="F21">
        <f t="shared" ref="F21:F26" si="1">ROUND(2*E21,0)/2</f>
        <v>-824</v>
      </c>
      <c r="G21" s="10"/>
      <c r="K21">
        <f>+U21</f>
        <v>-7.2500000002037268E-2</v>
      </c>
      <c r="O21">
        <f t="shared" ref="O21:O36" ca="1" si="2">+C$11+C$12*$F21</f>
        <v>-1.7015371602211303E-2</v>
      </c>
      <c r="Q21" s="2">
        <f t="shared" ref="Q21:Q36" si="3">+C21-15018.5</f>
        <v>37223.887499999997</v>
      </c>
      <c r="R21" t="e">
        <v>#N/A</v>
      </c>
      <c r="U21" s="10">
        <f>+C21-(C$7+F21*C$8)</f>
        <v>-7.2500000002037268E-2</v>
      </c>
    </row>
    <row r="22" spans="1:21" x14ac:dyDescent="0.2">
      <c r="A22" s="34" t="s">
        <v>60</v>
      </c>
      <c r="B22" s="35" t="s">
        <v>45</v>
      </c>
      <c r="C22" s="34">
        <v>52243.3266</v>
      </c>
      <c r="D22" s="34" t="s">
        <v>61</v>
      </c>
      <c r="E22">
        <f t="shared" si="0"/>
        <v>-821.2326361168823</v>
      </c>
      <c r="F22">
        <f t="shared" si="1"/>
        <v>-821</v>
      </c>
      <c r="G22" s="10"/>
      <c r="K22">
        <f>+U22</f>
        <v>-7.2850000004109461E-2</v>
      </c>
      <c r="O22">
        <f t="shared" ca="1" si="2"/>
        <v>-1.6891384985732831E-2</v>
      </c>
      <c r="Q22" s="2">
        <f t="shared" si="3"/>
        <v>37224.8266</v>
      </c>
      <c r="U22" s="10">
        <f>+C22-(C$7+F22*C$8)</f>
        <v>-7.2850000004109461E-2</v>
      </c>
    </row>
    <row r="23" spans="1:21" x14ac:dyDescent="0.2">
      <c r="A23" s="34" t="s">
        <v>60</v>
      </c>
      <c r="B23" s="35" t="s">
        <v>52</v>
      </c>
      <c r="C23" s="34">
        <v>52244.421000000002</v>
      </c>
      <c r="D23" s="34" t="s">
        <v>61</v>
      </c>
      <c r="E23">
        <f t="shared" si="0"/>
        <v>-817.73782532332723</v>
      </c>
      <c r="F23">
        <f t="shared" si="1"/>
        <v>-817.5</v>
      </c>
      <c r="G23" s="10"/>
      <c r="K23">
        <f>+U23</f>
        <v>-7.4475000001257285E-2</v>
      </c>
      <c r="O23">
        <f t="shared" ca="1" si="2"/>
        <v>-1.6746733933174614E-2</v>
      </c>
      <c r="Q23" s="2">
        <f t="shared" si="3"/>
        <v>37225.921000000002</v>
      </c>
      <c r="U23" s="10">
        <f>+C23-(C$7+F23*C$8)</f>
        <v>-7.4475000001257285E-2</v>
      </c>
    </row>
    <row r="24" spans="1:21" x14ac:dyDescent="0.2">
      <c r="A24" s="34" t="s">
        <v>60</v>
      </c>
      <c r="B24" s="35" t="s">
        <v>52</v>
      </c>
      <c r="C24" s="34">
        <v>52254.445</v>
      </c>
      <c r="D24" s="34" t="s">
        <v>61</v>
      </c>
      <c r="E24">
        <f t="shared" si="0"/>
        <v>-785.72760657832453</v>
      </c>
      <c r="F24">
        <f t="shared" si="1"/>
        <v>-785.5</v>
      </c>
      <c r="G24" s="10"/>
      <c r="K24">
        <f>+U24</f>
        <v>-7.1275000002060551E-2</v>
      </c>
      <c r="O24">
        <f t="shared" ca="1" si="2"/>
        <v>-1.5424210024070906E-2</v>
      </c>
      <c r="Q24" s="2">
        <f t="shared" si="3"/>
        <v>37235.945</v>
      </c>
      <c r="U24" s="10">
        <f>+C24-(C$7+F24*C$8)</f>
        <v>-7.1275000002060551E-2</v>
      </c>
    </row>
    <row r="25" spans="1:21" x14ac:dyDescent="0.2">
      <c r="A25" s="34" t="s">
        <v>60</v>
      </c>
      <c r="B25" s="35" t="s">
        <v>45</v>
      </c>
      <c r="C25" s="34">
        <v>52256.323300000004</v>
      </c>
      <c r="D25" s="34" t="s">
        <v>61</v>
      </c>
      <c r="E25">
        <f t="shared" si="0"/>
        <v>-779.72952259300132</v>
      </c>
      <c r="F25">
        <f t="shared" si="1"/>
        <v>-779.5</v>
      </c>
      <c r="G25" s="10"/>
      <c r="K25">
        <f>+U25</f>
        <v>-7.1875000001455192E-2</v>
      </c>
      <c r="O25">
        <f t="shared" ca="1" si="2"/>
        <v>-1.5176236791113955E-2</v>
      </c>
      <c r="Q25" s="2">
        <f t="shared" si="3"/>
        <v>37237.823300000004</v>
      </c>
      <c r="U25" s="10">
        <f>+C25-(C$7+F25*C$8)</f>
        <v>-7.1875000001455192E-2</v>
      </c>
    </row>
    <row r="26" spans="1:21" x14ac:dyDescent="0.2">
      <c r="A26" s="32" t="s">
        <v>47</v>
      </c>
      <c r="B26" s="31" t="s">
        <v>45</v>
      </c>
      <c r="C26" s="32">
        <v>52500.495600000002</v>
      </c>
      <c r="D26" s="32"/>
      <c r="E26">
        <f t="shared" si="0"/>
        <v>0</v>
      </c>
      <c r="F26">
        <f t="shared" si="1"/>
        <v>0</v>
      </c>
      <c r="G26" s="10"/>
      <c r="K26">
        <f t="shared" ref="K26:K36" si="4">+G26</f>
        <v>0</v>
      </c>
      <c r="O26">
        <f t="shared" ca="1" si="2"/>
        <v>1.7039619057209243E-2</v>
      </c>
      <c r="Q26" s="2">
        <f t="shared" si="3"/>
        <v>37481.995600000002</v>
      </c>
      <c r="U26" s="10"/>
    </row>
    <row r="27" spans="1:21" x14ac:dyDescent="0.2">
      <c r="A27" s="38" t="s">
        <v>65</v>
      </c>
      <c r="B27" s="39" t="s">
        <v>45</v>
      </c>
      <c r="C27" s="40">
        <v>54505.406000000003</v>
      </c>
      <c r="D27" s="40">
        <v>5.0000000000000001E-3</v>
      </c>
      <c r="E27">
        <f t="shared" si="0"/>
        <v>6402.3962957049362</v>
      </c>
      <c r="F27" s="53">
        <f>ROUND(2*E27,0)/2-1</f>
        <v>6401.5</v>
      </c>
      <c r="G27" s="10">
        <f t="shared" ref="G27:G36" si="5">+C27-(C$7+F27*C$8)</f>
        <v>0.2806750000017928</v>
      </c>
      <c r="I27">
        <f>+G27</f>
        <v>0.2806750000017928</v>
      </c>
      <c r="K27">
        <f t="shared" si="4"/>
        <v>0.2806750000017928</v>
      </c>
      <c r="O27">
        <f t="shared" ca="1" si="2"/>
        <v>0.2816063941861906</v>
      </c>
      <c r="Q27" s="2">
        <f t="shared" si="3"/>
        <v>39486.906000000003</v>
      </c>
    </row>
    <row r="28" spans="1:21" x14ac:dyDescent="0.2">
      <c r="A28" s="38" t="s">
        <v>65</v>
      </c>
      <c r="B28" s="39" t="s">
        <v>52</v>
      </c>
      <c r="C28" s="40">
        <v>54505.563999999998</v>
      </c>
      <c r="D28" s="40">
        <v>7.0000000000000001E-3</v>
      </c>
      <c r="E28">
        <f t="shared" si="0"/>
        <v>6402.9008462398106</v>
      </c>
      <c r="F28" s="53">
        <f>ROUND(2*E28,0)/2-1</f>
        <v>6402</v>
      </c>
      <c r="G28" s="10">
        <f t="shared" si="5"/>
        <v>0.28209999999671709</v>
      </c>
      <c r="I28">
        <f>+G28</f>
        <v>0.28209999999671709</v>
      </c>
      <c r="K28">
        <f t="shared" si="4"/>
        <v>0.28209999999671709</v>
      </c>
      <c r="O28">
        <f t="shared" ca="1" si="2"/>
        <v>0.28162705862227033</v>
      </c>
      <c r="Q28" s="2">
        <f t="shared" si="3"/>
        <v>39487.063999999998</v>
      </c>
    </row>
    <row r="29" spans="1:21" x14ac:dyDescent="0.2">
      <c r="A29" s="32" t="s">
        <v>51</v>
      </c>
      <c r="B29" s="31" t="s">
        <v>52</v>
      </c>
      <c r="C29" s="32">
        <v>54821.8874</v>
      </c>
      <c r="D29" s="32">
        <v>2.0000000000000001E-4</v>
      </c>
      <c r="E29">
        <f t="shared" si="0"/>
        <v>7413.0346479322934</v>
      </c>
      <c r="F29" s="53">
        <f>ROUND(2*E29,0)/2-1</f>
        <v>7412</v>
      </c>
      <c r="G29" s="10">
        <f t="shared" si="5"/>
        <v>0.32400000000052387</v>
      </c>
      <c r="K29">
        <f t="shared" si="4"/>
        <v>0.32400000000052387</v>
      </c>
      <c r="O29">
        <f t="shared" ca="1" si="2"/>
        <v>0.32336921950335623</v>
      </c>
      <c r="Q29" s="2">
        <f t="shared" si="3"/>
        <v>39803.3874</v>
      </c>
      <c r="U29" s="10"/>
    </row>
    <row r="30" spans="1:21" x14ac:dyDescent="0.2">
      <c r="A30" s="34" t="s">
        <v>53</v>
      </c>
      <c r="B30" s="35" t="s">
        <v>45</v>
      </c>
      <c r="C30" s="34">
        <v>55181.902000000002</v>
      </c>
      <c r="D30" s="34">
        <v>5.9999999999999995E-4</v>
      </c>
      <c r="E30">
        <f t="shared" si="0"/>
        <v>8562.6900846239823</v>
      </c>
      <c r="F30" s="53">
        <f>ROUND(2*E30,0)/2-1</f>
        <v>8561.5</v>
      </c>
      <c r="G30" s="10">
        <f t="shared" si="5"/>
        <v>0.37267499999870779</v>
      </c>
      <c r="I30">
        <f>+G30</f>
        <v>0.37267499999870779</v>
      </c>
      <c r="K30">
        <f t="shared" si="4"/>
        <v>0.37267499999870779</v>
      </c>
      <c r="O30">
        <f t="shared" ca="1" si="2"/>
        <v>0.37087675805069109</v>
      </c>
      <c r="Q30" s="2">
        <f t="shared" si="3"/>
        <v>40163.402000000002</v>
      </c>
    </row>
    <row r="31" spans="1:21" x14ac:dyDescent="0.2">
      <c r="A31" s="38" t="s">
        <v>59</v>
      </c>
      <c r="B31" s="31" t="s">
        <v>52</v>
      </c>
      <c r="C31" s="32">
        <v>55255.341070000002</v>
      </c>
      <c r="D31" s="32">
        <v>2.9999999999999997E-4</v>
      </c>
      <c r="E31">
        <f t="shared" si="0"/>
        <v>8797.2073127894</v>
      </c>
      <c r="F31" s="53">
        <f>ROUND(2*E31,0)/2-1</f>
        <v>8796</v>
      </c>
      <c r="G31" s="10">
        <f t="shared" si="5"/>
        <v>0.37806999999884283</v>
      </c>
      <c r="K31">
        <f t="shared" si="4"/>
        <v>0.37806999999884283</v>
      </c>
      <c r="O31">
        <f t="shared" ca="1" si="2"/>
        <v>0.38056837857209169</v>
      </c>
      <c r="Q31" s="2">
        <f t="shared" si="3"/>
        <v>40236.841070000002</v>
      </c>
    </row>
    <row r="32" spans="1:21" x14ac:dyDescent="0.2">
      <c r="A32" s="38" t="s">
        <v>55</v>
      </c>
      <c r="B32" s="31" t="s">
        <v>45</v>
      </c>
      <c r="C32" s="32">
        <v>55559.921600000001</v>
      </c>
      <c r="D32" s="32">
        <v>2.0000000000000001E-4</v>
      </c>
      <c r="E32">
        <f t="shared" si="0"/>
        <v>9769.8419287881188</v>
      </c>
      <c r="F32" s="54">
        <f>ROUND(2*E32,0)/2-1.5</f>
        <v>9768.5</v>
      </c>
      <c r="G32" s="10">
        <f t="shared" si="5"/>
        <v>0.42022500000166474</v>
      </c>
      <c r="K32">
        <f t="shared" si="4"/>
        <v>0.42022500000166474</v>
      </c>
      <c r="O32">
        <f t="shared" ca="1" si="2"/>
        <v>0.42076070674719668</v>
      </c>
      <c r="Q32" s="2">
        <f t="shared" si="3"/>
        <v>40541.421600000001</v>
      </c>
      <c r="U32" s="10"/>
    </row>
    <row r="33" spans="1:21" x14ac:dyDescent="0.2">
      <c r="A33" s="50" t="s">
        <v>4</v>
      </c>
      <c r="B33" s="51"/>
      <c r="C33" s="52">
        <v>57032.078799999865</v>
      </c>
      <c r="D33" s="50"/>
      <c r="E33">
        <f t="shared" si="0"/>
        <v>14470.966629410388</v>
      </c>
      <c r="F33" s="55">
        <f>ROUND(2*E33,0)/2-2</f>
        <v>14469</v>
      </c>
      <c r="G33" s="10">
        <f t="shared" si="5"/>
        <v>0.61584999986371258</v>
      </c>
      <c r="K33">
        <f t="shared" si="4"/>
        <v>0.61584999986371258</v>
      </c>
      <c r="O33">
        <f t="shared" ca="1" si="2"/>
        <v>0.61502707033288395</v>
      </c>
      <c r="Q33" s="2">
        <f t="shared" si="3"/>
        <v>42013.578799999865</v>
      </c>
    </row>
    <row r="34" spans="1:21" x14ac:dyDescent="0.2">
      <c r="A34" s="47" t="s">
        <v>64</v>
      </c>
      <c r="B34" s="48"/>
      <c r="C34" s="52">
        <v>57032.238700000067</v>
      </c>
      <c r="D34" s="49"/>
      <c r="E34">
        <f t="shared" si="0"/>
        <v>14471.477247325771</v>
      </c>
      <c r="F34" s="55">
        <f>ROUND(2*E34,0)/2-2</f>
        <v>14469.5</v>
      </c>
      <c r="G34" s="10">
        <f t="shared" si="5"/>
        <v>0.61917500006529735</v>
      </c>
      <c r="K34">
        <f t="shared" si="4"/>
        <v>0.61917500006529735</v>
      </c>
      <c r="O34">
        <f t="shared" ca="1" si="2"/>
        <v>0.61504773476896357</v>
      </c>
      <c r="Q34" s="2">
        <f t="shared" si="3"/>
        <v>42013.738700000067</v>
      </c>
    </row>
    <row r="35" spans="1:21" x14ac:dyDescent="0.2">
      <c r="A35" s="50" t="s">
        <v>4</v>
      </c>
      <c r="B35" s="51"/>
      <c r="C35" s="52">
        <v>57066.060599999975</v>
      </c>
      <c r="D35" s="50"/>
      <c r="E35">
        <f t="shared" si="0"/>
        <v>14579.482676033766</v>
      </c>
      <c r="F35" s="55">
        <f>ROUND(2*E35,0)/2-2</f>
        <v>14577.5</v>
      </c>
      <c r="G35" s="10">
        <f t="shared" si="5"/>
        <v>0.62087499997142004</v>
      </c>
      <c r="K35">
        <f t="shared" si="4"/>
        <v>0.62087499997142004</v>
      </c>
      <c r="O35">
        <f t="shared" ca="1" si="2"/>
        <v>0.61951125296218867</v>
      </c>
      <c r="Q35" s="2">
        <f t="shared" si="3"/>
        <v>42047.560599999975</v>
      </c>
    </row>
    <row r="36" spans="1:21" x14ac:dyDescent="0.2">
      <c r="A36" s="47" t="s">
        <v>64</v>
      </c>
      <c r="C36" s="52">
        <v>57358.1049000001</v>
      </c>
      <c r="D36" s="10"/>
      <c r="E36">
        <f t="shared" si="0"/>
        <v>15512.084623982431</v>
      </c>
      <c r="F36" s="55">
        <f>ROUND(2*E36,0)/2-2</f>
        <v>15510</v>
      </c>
      <c r="G36" s="10">
        <f t="shared" si="5"/>
        <v>0.65280000009806827</v>
      </c>
      <c r="K36">
        <f t="shared" si="4"/>
        <v>0.65280000009806827</v>
      </c>
      <c r="O36">
        <f t="shared" ca="1" si="2"/>
        <v>0.65805042625091392</v>
      </c>
      <c r="Q36" s="2">
        <f t="shared" si="3"/>
        <v>42339.6049000001</v>
      </c>
      <c r="U36" s="10"/>
    </row>
    <row r="37" spans="1:21" x14ac:dyDescent="0.2">
      <c r="C37" s="10"/>
      <c r="D37" s="10"/>
    </row>
    <row r="38" spans="1:21" x14ac:dyDescent="0.2">
      <c r="C38" s="10"/>
      <c r="D38" s="10"/>
    </row>
    <row r="39" spans="1:21" x14ac:dyDescent="0.2">
      <c r="C39" s="10"/>
      <c r="D39" s="10"/>
    </row>
    <row r="40" spans="1:21" x14ac:dyDescent="0.2">
      <c r="C40" s="10"/>
      <c r="D40" s="10"/>
    </row>
    <row r="41" spans="1:21" x14ac:dyDescent="0.2">
      <c r="C41" s="10"/>
      <c r="D41" s="10"/>
    </row>
    <row r="42" spans="1:21" x14ac:dyDescent="0.2">
      <c r="C42" s="10"/>
      <c r="D42" s="10"/>
    </row>
    <row r="43" spans="1:21" x14ac:dyDescent="0.2">
      <c r="C43" s="10"/>
      <c r="D43" s="10"/>
    </row>
    <row r="44" spans="1:21" x14ac:dyDescent="0.2">
      <c r="C44" s="10"/>
      <c r="D44" s="10"/>
    </row>
    <row r="45" spans="1:21" x14ac:dyDescent="0.2">
      <c r="C45" s="10"/>
      <c r="D45" s="10"/>
    </row>
    <row r="46" spans="1:21" x14ac:dyDescent="0.2">
      <c r="C46" s="10"/>
      <c r="D46" s="10"/>
    </row>
    <row r="47" spans="1:21" x14ac:dyDescent="0.2">
      <c r="C47" s="10"/>
      <c r="D47" s="10"/>
    </row>
    <row r="48" spans="1:21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</sheetData>
  <sheetProtection sheet="1"/>
  <phoneticPr fontId="8" type="noConversion"/>
  <hyperlinks>
    <hyperlink ref="H1627" r:id="rId1" display="http://vsolj.cetus-net.org/bulletin.html" xr:uid="{00000000-0004-0000-0100-000000000000}"/>
  </hyperlinks>
  <pageMargins left="0.75" right="0.75" top="1" bottom="1" header="0.5" footer="0.5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922"/>
  <sheetViews>
    <sheetView workbookViewId="0">
      <selection activeCell="D37" sqref="D37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5703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49</v>
      </c>
    </row>
    <row r="2" spans="1:7" x14ac:dyDescent="0.2">
      <c r="A2" t="s">
        <v>31</v>
      </c>
      <c r="B2" t="s">
        <v>50</v>
      </c>
      <c r="C2" s="3"/>
      <c r="D2" s="3"/>
    </row>
    <row r="3" spans="1:7" ht="13.5" thickBot="1" x14ac:dyDescent="0.25"/>
    <row r="4" spans="1:7" ht="14.25" thickTop="1" thickBot="1" x14ac:dyDescent="0.25">
      <c r="A4" s="5" t="s">
        <v>48</v>
      </c>
      <c r="C4" s="8">
        <v>52500.495600000002</v>
      </c>
      <c r="D4" s="9">
        <v>0.31313528000000002</v>
      </c>
    </row>
    <row r="5" spans="1:7" x14ac:dyDescent="0.2">
      <c r="C5" s="30" t="s">
        <v>46</v>
      </c>
    </row>
    <row r="6" spans="1:7" x14ac:dyDescent="0.2">
      <c r="A6" s="5" t="s">
        <v>9</v>
      </c>
    </row>
    <row r="7" spans="1:7" x14ac:dyDescent="0.2">
      <c r="A7" t="s">
        <v>10</v>
      </c>
      <c r="C7">
        <f>C4</f>
        <v>52500.495600000002</v>
      </c>
    </row>
    <row r="8" spans="1:7" x14ac:dyDescent="0.2">
      <c r="A8" t="s">
        <v>11</v>
      </c>
      <c r="C8">
        <v>0.313193</v>
      </c>
      <c r="D8" s="29"/>
    </row>
    <row r="9" spans="1:7" x14ac:dyDescent="0.2">
      <c r="A9" s="11" t="s">
        <v>38</v>
      </c>
      <c r="B9" s="12"/>
      <c r="C9" s="13">
        <v>8</v>
      </c>
      <c r="D9" s="12" t="s">
        <v>39</v>
      </c>
      <c r="E9" s="12"/>
    </row>
    <row r="10" spans="1:7" ht="13.5" thickBot="1" x14ac:dyDescent="0.25">
      <c r="A10" s="12"/>
      <c r="B10" s="12"/>
      <c r="C10" s="4" t="s">
        <v>27</v>
      </c>
      <c r="D10" s="4" t="s">
        <v>28</v>
      </c>
      <c r="E10" s="12"/>
    </row>
    <row r="11" spans="1:7" x14ac:dyDescent="0.2">
      <c r="A11" s="12" t="s">
        <v>23</v>
      </c>
      <c r="B11" s="12"/>
      <c r="C11" s="24">
        <f ca="1">INTERCEPT(INDIRECT($G$11):G991,INDIRECT($F$11):F991)</f>
        <v>2.357173984444582E-3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7" x14ac:dyDescent="0.2">
      <c r="A12" s="12" t="s">
        <v>24</v>
      </c>
      <c r="B12" s="12"/>
      <c r="C12" s="24">
        <f ca="1">SLOPE(INDIRECT($G$11):G991,INDIRECT($F$11):F991)</f>
        <v>1.1745048427087272E-7</v>
      </c>
      <c r="D12" s="3"/>
      <c r="E12" s="12"/>
    </row>
    <row r="13" spans="1:7" x14ac:dyDescent="0.2">
      <c r="A13" s="12" t="s">
        <v>26</v>
      </c>
      <c r="B13" s="12"/>
      <c r="C13" s="3" t="s">
        <v>21</v>
      </c>
      <c r="D13" s="16" t="s">
        <v>57</v>
      </c>
      <c r="E13" s="13">
        <v>1</v>
      </c>
    </row>
    <row r="14" spans="1:7" x14ac:dyDescent="0.2">
      <c r="A14" s="12"/>
      <c r="B14" s="12"/>
      <c r="C14" s="12"/>
      <c r="D14" s="16" t="s">
        <v>40</v>
      </c>
      <c r="E14" s="17">
        <f ca="1">NOW()+15018.5+$C$9/24</f>
        <v>60171.473623726852</v>
      </c>
    </row>
    <row r="15" spans="1:7" x14ac:dyDescent="0.2">
      <c r="A15" s="14" t="s">
        <v>25</v>
      </c>
      <c r="B15" s="12"/>
      <c r="C15" s="15">
        <f ca="1">(C7+C11)+(C8+C12)*INT(MAX(F21:F3532))</f>
        <v>55559.76832843032</v>
      </c>
      <c r="D15" s="16" t="s">
        <v>58</v>
      </c>
      <c r="E15" s="17">
        <f ca="1">ROUND(2*(E14-$C$7)/$C$8,0)/2+E13</f>
        <v>24494</v>
      </c>
    </row>
    <row r="16" spans="1:7" x14ac:dyDescent="0.2">
      <c r="A16" s="18" t="s">
        <v>12</v>
      </c>
      <c r="B16" s="12"/>
      <c r="C16" s="19">
        <f ca="1">+C8+C12</f>
        <v>0.31319311745048428</v>
      </c>
      <c r="D16" s="16" t="s">
        <v>41</v>
      </c>
      <c r="E16" s="26">
        <f ca="1">ROUND(2*(E14-$C$15)/$C$16,0)/2+E13</f>
        <v>14726</v>
      </c>
    </row>
    <row r="17" spans="1:18" ht="13.5" thickBot="1" x14ac:dyDescent="0.25">
      <c r="A17" s="16" t="s">
        <v>37</v>
      </c>
      <c r="B17" s="12"/>
      <c r="C17" s="12">
        <f>COUNT(C21:C2190)</f>
        <v>12</v>
      </c>
      <c r="D17" s="16" t="s">
        <v>42</v>
      </c>
      <c r="E17" s="20">
        <f ca="1">+$C$15+$C$16*E16-15018.5-$C$9/24</f>
        <v>45153.016842672812</v>
      </c>
    </row>
    <row r="18" spans="1:18" ht="14.25" thickTop="1" thickBot="1" x14ac:dyDescent="0.25">
      <c r="A18" s="18" t="s">
        <v>13</v>
      </c>
      <c r="B18" s="12"/>
      <c r="C18" s="21">
        <f ca="1">+C15</f>
        <v>55559.76832843032</v>
      </c>
      <c r="D18" s="22">
        <f ca="1">+C16</f>
        <v>0.31319311745048428</v>
      </c>
      <c r="E18" s="23" t="s">
        <v>43</v>
      </c>
    </row>
    <row r="19" spans="1:18" ht="13.5" thickTop="1" x14ac:dyDescent="0.2">
      <c r="A19" s="27" t="s">
        <v>44</v>
      </c>
      <c r="E19" s="28">
        <v>22</v>
      </c>
      <c r="R19">
        <f ca="1">SQRT(SUM(R22:R26)/COUNT(R22:R26))</f>
        <v>2.2631118752665133E-3</v>
      </c>
    </row>
    <row r="20" spans="1:18" ht="13.5" thickBot="1" x14ac:dyDescent="0.25">
      <c r="A20" s="4" t="s">
        <v>14</v>
      </c>
      <c r="B20" s="4" t="s">
        <v>15</v>
      </c>
      <c r="C20" s="4" t="s">
        <v>16</v>
      </c>
      <c r="D20" s="4" t="s">
        <v>20</v>
      </c>
      <c r="E20" s="4" t="s">
        <v>17</v>
      </c>
      <c r="F20" s="4" t="s">
        <v>18</v>
      </c>
      <c r="G20" s="4" t="s">
        <v>19</v>
      </c>
      <c r="H20" s="7" t="s">
        <v>47</v>
      </c>
      <c r="I20" s="7" t="s">
        <v>36</v>
      </c>
      <c r="J20" s="7" t="s">
        <v>56</v>
      </c>
      <c r="K20" s="7" t="s">
        <v>32</v>
      </c>
      <c r="L20" s="7" t="s">
        <v>33</v>
      </c>
      <c r="M20" s="7" t="s">
        <v>34</v>
      </c>
      <c r="N20" s="7" t="s">
        <v>35</v>
      </c>
      <c r="O20" s="7" t="s">
        <v>30</v>
      </c>
      <c r="P20" s="6" t="s">
        <v>29</v>
      </c>
      <c r="Q20" s="4" t="s">
        <v>22</v>
      </c>
    </row>
    <row r="21" spans="1:18" x14ac:dyDescent="0.2">
      <c r="A21" s="41" t="s">
        <v>60</v>
      </c>
      <c r="B21" s="42" t="s">
        <v>45</v>
      </c>
      <c r="C21" s="44">
        <v>52242.387499999997</v>
      </c>
      <c r="D21" s="41" t="s">
        <v>61</v>
      </c>
      <c r="E21">
        <f t="shared" ref="E21:E32" si="0">+(C21-C$7)/C$8</f>
        <v>-824.11835513566689</v>
      </c>
      <c r="F21">
        <f t="shared" ref="F21:F32" si="1">ROUND(2*E21,0)/2</f>
        <v>-824</v>
      </c>
      <c r="I21" s="26">
        <v>-3.7068000005092472E-2</v>
      </c>
      <c r="O21">
        <f t="shared" ref="O21:O32" ca="1" si="2">+C$11+C$12*$F21</f>
        <v>2.2603947854053829E-3</v>
      </c>
      <c r="Q21" s="2">
        <f t="shared" ref="Q21:Q32" si="3">+C21-15018.5</f>
        <v>37223.887499999997</v>
      </c>
      <c r="R21">
        <f ca="1">(O21-G21)^2</f>
        <v>5.1093845858878464E-6</v>
      </c>
    </row>
    <row r="22" spans="1:18" x14ac:dyDescent="0.2">
      <c r="A22" s="41" t="s">
        <v>60</v>
      </c>
      <c r="B22" s="42" t="s">
        <v>45</v>
      </c>
      <c r="C22" s="44">
        <v>52243.3266</v>
      </c>
      <c r="D22" s="41" t="s">
        <v>61</v>
      </c>
      <c r="E22">
        <f t="shared" si="0"/>
        <v>-821.11988454404059</v>
      </c>
      <c r="F22">
        <f t="shared" si="1"/>
        <v>-821</v>
      </c>
      <c r="I22" s="26">
        <v>-3.7546999999904074E-2</v>
      </c>
      <c r="O22">
        <f t="shared" ca="1" si="2"/>
        <v>2.2607471368581954E-3</v>
      </c>
      <c r="Q22" s="2">
        <f t="shared" si="3"/>
        <v>37224.8266</v>
      </c>
      <c r="R22">
        <f ca="1">(O22-G22)^2</f>
        <v>5.1109776168125282E-6</v>
      </c>
    </row>
    <row r="23" spans="1:18" x14ac:dyDescent="0.2">
      <c r="A23" s="41" t="s">
        <v>60</v>
      </c>
      <c r="B23" s="42" t="s">
        <v>52</v>
      </c>
      <c r="C23" s="44">
        <v>52244.421000000002</v>
      </c>
      <c r="D23" s="41" t="s">
        <v>61</v>
      </c>
      <c r="E23">
        <f t="shared" si="0"/>
        <v>-817.62555357239762</v>
      </c>
      <c r="F23">
        <f t="shared" si="1"/>
        <v>-817.5</v>
      </c>
      <c r="I23" s="26">
        <v>-3.9322500000707805E-2</v>
      </c>
      <c r="O23">
        <f t="shared" ca="1" si="2"/>
        <v>2.2611582135531436E-3</v>
      </c>
      <c r="Q23" s="2">
        <f t="shared" si="3"/>
        <v>37225.921000000002</v>
      </c>
      <c r="R23">
        <f ca="1">(O23-G23)^2</f>
        <v>5.1128364667188433E-6</v>
      </c>
    </row>
    <row r="24" spans="1:18" x14ac:dyDescent="0.2">
      <c r="A24" s="41" t="s">
        <v>60</v>
      </c>
      <c r="B24" s="42" t="s">
        <v>52</v>
      </c>
      <c r="C24" s="44">
        <v>52254.445</v>
      </c>
      <c r="D24" s="41" t="s">
        <v>61</v>
      </c>
      <c r="E24">
        <f t="shared" si="0"/>
        <v>-785.61972968745249</v>
      </c>
      <c r="F24">
        <f t="shared" si="1"/>
        <v>-785.5</v>
      </c>
      <c r="I24" s="26">
        <v>-3.7498500001674984E-2</v>
      </c>
      <c r="O24">
        <f t="shared" ca="1" si="2"/>
        <v>2.2649166290498114E-3</v>
      </c>
      <c r="Q24" s="2">
        <f t="shared" si="3"/>
        <v>37235.945</v>
      </c>
      <c r="R24">
        <f ca="1">(O24-G24)^2</f>
        <v>5.129847336546361E-6</v>
      </c>
    </row>
    <row r="25" spans="1:18" x14ac:dyDescent="0.2">
      <c r="A25" s="41" t="s">
        <v>60</v>
      </c>
      <c r="B25" s="42" t="s">
        <v>45</v>
      </c>
      <c r="C25" s="44">
        <v>52256.323300000004</v>
      </c>
      <c r="D25" s="41" t="s">
        <v>61</v>
      </c>
      <c r="E25">
        <f t="shared" si="0"/>
        <v>-779.62246921226961</v>
      </c>
      <c r="F25">
        <f t="shared" si="1"/>
        <v>-779.5</v>
      </c>
      <c r="I25" s="26">
        <v>-3.8356500001100358E-2</v>
      </c>
      <c r="O25">
        <f t="shared" ca="1" si="2"/>
        <v>2.2656213319554369E-3</v>
      </c>
      <c r="Q25" s="2">
        <f t="shared" si="3"/>
        <v>37237.823300000004</v>
      </c>
      <c r="R25">
        <f ca="1">(O25-G25)^2</f>
        <v>5.1330400198115281E-6</v>
      </c>
    </row>
    <row r="26" spans="1:18" x14ac:dyDescent="0.2">
      <c r="A26" s="32" t="s">
        <v>47</v>
      </c>
      <c r="B26" s="31" t="s">
        <v>45</v>
      </c>
      <c r="C26" s="32">
        <v>52500.495600000002</v>
      </c>
      <c r="D26" s="32"/>
      <c r="E26">
        <f t="shared" si="0"/>
        <v>0</v>
      </c>
      <c r="F26">
        <f t="shared" si="1"/>
        <v>0</v>
      </c>
      <c r="G26">
        <f t="shared" ref="G26:G32" si="4">+C26-(C$7+F26*C$8)</f>
        <v>0</v>
      </c>
      <c r="H26">
        <f>+G26</f>
        <v>0</v>
      </c>
      <c r="O26">
        <f t="shared" ca="1" si="2"/>
        <v>2.357173984444582E-3</v>
      </c>
      <c r="Q26" s="2">
        <f t="shared" si="3"/>
        <v>37481.995600000002</v>
      </c>
    </row>
    <row r="27" spans="1:18" x14ac:dyDescent="0.2">
      <c r="A27" s="38" t="s">
        <v>54</v>
      </c>
      <c r="B27" s="39" t="s">
        <v>45</v>
      </c>
      <c r="C27" s="43">
        <v>54505.406000000003</v>
      </c>
      <c r="D27" s="40">
        <v>5.0000000000000001E-3</v>
      </c>
      <c r="E27">
        <f t="shared" si="0"/>
        <v>6401.5172752903181</v>
      </c>
      <c r="F27">
        <f t="shared" si="1"/>
        <v>6401.5</v>
      </c>
      <c r="G27">
        <f t="shared" si="4"/>
        <v>5.4105000017443672E-3</v>
      </c>
      <c r="J27">
        <f>+G27</f>
        <v>5.4105000017443672E-3</v>
      </c>
      <c r="O27">
        <f t="shared" ca="1" si="2"/>
        <v>3.1090332595045738E-3</v>
      </c>
      <c r="Q27" s="2">
        <f t="shared" si="3"/>
        <v>39486.906000000003</v>
      </c>
      <c r="R27">
        <f t="shared" ref="R27:R32" ca="1" si="5">(O27-G27)^2</f>
        <v>5.2967491656358473E-6</v>
      </c>
    </row>
    <row r="28" spans="1:18" x14ac:dyDescent="0.2">
      <c r="A28" s="38" t="s">
        <v>54</v>
      </c>
      <c r="B28" s="39" t="s">
        <v>52</v>
      </c>
      <c r="C28" s="43">
        <v>54505.563999999998</v>
      </c>
      <c r="D28" s="40">
        <v>7.0000000000000001E-3</v>
      </c>
      <c r="E28">
        <f t="shared" si="0"/>
        <v>6402.0217565526573</v>
      </c>
      <c r="F28">
        <f t="shared" si="1"/>
        <v>6402</v>
      </c>
      <c r="G28">
        <f t="shared" si="4"/>
        <v>6.8139999930281192E-3</v>
      </c>
      <c r="J28">
        <f>+G28</f>
        <v>6.8139999930281192E-3</v>
      </c>
      <c r="O28">
        <f t="shared" ca="1" si="2"/>
        <v>3.1090919847467091E-3</v>
      </c>
      <c r="Q28" s="2">
        <f t="shared" si="3"/>
        <v>39487.063999999998</v>
      </c>
      <c r="R28">
        <f t="shared" ca="1" si="5"/>
        <v>1.3726343349827725E-5</v>
      </c>
    </row>
    <row r="29" spans="1:18" x14ac:dyDescent="0.2">
      <c r="A29" s="32" t="s">
        <v>51</v>
      </c>
      <c r="B29" s="31" t="s">
        <v>52</v>
      </c>
      <c r="C29" s="33">
        <v>54821.8874</v>
      </c>
      <c r="D29" s="32">
        <v>2.0000000000000001E-4</v>
      </c>
      <c r="E29">
        <f t="shared" si="0"/>
        <v>7412.0168713860066</v>
      </c>
      <c r="F29">
        <f t="shared" si="1"/>
        <v>7412</v>
      </c>
      <c r="G29">
        <f t="shared" si="4"/>
        <v>5.2839999989373609E-3</v>
      </c>
      <c r="I29">
        <f>+G29</f>
        <v>5.2839999989373609E-3</v>
      </c>
      <c r="O29">
        <f t="shared" ca="1" si="2"/>
        <v>3.2277169738602904E-3</v>
      </c>
      <c r="Q29" s="2">
        <f t="shared" si="3"/>
        <v>39803.3874</v>
      </c>
      <c r="R29">
        <f t="shared" ca="1" si="5"/>
        <v>4.2282998792201082E-6</v>
      </c>
    </row>
    <row r="30" spans="1:18" x14ac:dyDescent="0.2">
      <c r="A30" s="34" t="s">
        <v>53</v>
      </c>
      <c r="B30" s="35" t="s">
        <v>45</v>
      </c>
      <c r="C30" s="45">
        <v>55181.902000000002</v>
      </c>
      <c r="D30" s="34">
        <v>5.9999999999999995E-4</v>
      </c>
      <c r="E30">
        <f t="shared" si="0"/>
        <v>8561.5144655212589</v>
      </c>
      <c r="F30">
        <f t="shared" si="1"/>
        <v>8561.5</v>
      </c>
      <c r="G30">
        <f t="shared" si="4"/>
        <v>4.5305000021471642E-3</v>
      </c>
      <c r="I30">
        <f>+G30</f>
        <v>4.5305000021471642E-3</v>
      </c>
      <c r="O30">
        <f t="shared" ca="1" si="2"/>
        <v>3.3627263055296588E-3</v>
      </c>
      <c r="Q30" s="2">
        <f t="shared" si="3"/>
        <v>40163.402000000002</v>
      </c>
      <c r="R30">
        <f t="shared" ca="1" si="5"/>
        <v>1.3636954065117136E-6</v>
      </c>
    </row>
    <row r="31" spans="1:18" x14ac:dyDescent="0.2">
      <c r="A31" s="38" t="s">
        <v>59</v>
      </c>
      <c r="B31" s="36" t="s">
        <v>52</v>
      </c>
      <c r="C31" s="37">
        <v>55255.341070000002</v>
      </c>
      <c r="D31" s="37">
        <v>2.9999999999999997E-4</v>
      </c>
      <c r="E31">
        <f t="shared" si="0"/>
        <v>8795.9994955187376</v>
      </c>
      <c r="F31">
        <f t="shared" si="1"/>
        <v>8796</v>
      </c>
      <c r="G31">
        <f t="shared" si="4"/>
        <v>-1.5800000255694613E-4</v>
      </c>
      <c r="J31">
        <f>+G31</f>
        <v>-1.5800000255694613E-4</v>
      </c>
      <c r="O31">
        <f t="shared" ca="1" si="2"/>
        <v>3.3902684440911784E-3</v>
      </c>
      <c r="Q31" s="2">
        <f t="shared" si="3"/>
        <v>40236.841070000002</v>
      </c>
      <c r="R31">
        <f t="shared" ca="1" si="5"/>
        <v>1.2590208969478696E-5</v>
      </c>
    </row>
    <row r="32" spans="1:18" x14ac:dyDescent="0.2">
      <c r="A32" s="38" t="s">
        <v>55</v>
      </c>
      <c r="B32" s="31" t="s">
        <v>45</v>
      </c>
      <c r="C32" s="33">
        <v>55559.921600000001</v>
      </c>
      <c r="D32" s="32">
        <v>2.0000000000000001E-4</v>
      </c>
      <c r="E32">
        <f t="shared" si="0"/>
        <v>9768.5005731290275</v>
      </c>
      <c r="F32">
        <f t="shared" si="1"/>
        <v>9768.5</v>
      </c>
      <c r="G32">
        <f t="shared" si="4"/>
        <v>1.7949999892152846E-4</v>
      </c>
      <c r="I32">
        <f>+G32</f>
        <v>1.7949999892152846E-4</v>
      </c>
      <c r="O32">
        <f t="shared" ca="1" si="2"/>
        <v>3.5044890400446021E-3</v>
      </c>
      <c r="Q32" s="2">
        <f t="shared" si="3"/>
        <v>40541.421600000001</v>
      </c>
      <c r="R32">
        <f t="shared" ca="1" si="5"/>
        <v>1.1055552123588538E-5</v>
      </c>
    </row>
    <row r="33" spans="3:4" x14ac:dyDescent="0.2">
      <c r="C33" s="10"/>
      <c r="D33" s="10"/>
    </row>
    <row r="34" spans="3:4" x14ac:dyDescent="0.2">
      <c r="C34" s="10"/>
      <c r="D34" s="10"/>
    </row>
    <row r="35" spans="3:4" x14ac:dyDescent="0.2">
      <c r="C35" s="10"/>
      <c r="D35" s="10"/>
    </row>
    <row r="36" spans="3:4" x14ac:dyDescent="0.2">
      <c r="C36" s="10"/>
      <c r="D36" s="10"/>
    </row>
    <row r="37" spans="3:4" x14ac:dyDescent="0.2">
      <c r="C37" s="10"/>
      <c r="D37" s="10"/>
    </row>
    <row r="38" spans="3:4" x14ac:dyDescent="0.2">
      <c r="C38" s="10"/>
      <c r="D38" s="10"/>
    </row>
    <row r="39" spans="3:4" x14ac:dyDescent="0.2">
      <c r="C39" s="10"/>
      <c r="D39" s="10"/>
    </row>
    <row r="40" spans="3:4" x14ac:dyDescent="0.2">
      <c r="C40" s="10"/>
      <c r="D40" s="10"/>
    </row>
    <row r="41" spans="3:4" x14ac:dyDescent="0.2">
      <c r="C41" s="10"/>
      <c r="D41" s="10"/>
    </row>
    <row r="42" spans="3:4" x14ac:dyDescent="0.2">
      <c r="C42" s="10"/>
      <c r="D42" s="10"/>
    </row>
    <row r="43" spans="3:4" x14ac:dyDescent="0.2">
      <c r="C43" s="10"/>
      <c r="D43" s="10"/>
    </row>
    <row r="44" spans="3:4" x14ac:dyDescent="0.2">
      <c r="C44" s="10"/>
      <c r="D44" s="10"/>
    </row>
    <row r="45" spans="3:4" x14ac:dyDescent="0.2">
      <c r="C45" s="10"/>
      <c r="D45" s="10"/>
    </row>
    <row r="46" spans="3:4" x14ac:dyDescent="0.2">
      <c r="C46" s="10"/>
      <c r="D46" s="10"/>
    </row>
    <row r="47" spans="3:4" x14ac:dyDescent="0.2">
      <c r="C47" s="10"/>
      <c r="D47" s="10"/>
    </row>
    <row r="48" spans="3:4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 (3)</vt:lpstr>
      <vt:lpstr>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2023-08-14T05:52:01Z</dcterms:modified>
</cp:coreProperties>
</file>