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8700" windowHeight="13335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<sst xmlns="http://schemas.openxmlformats.org/spreadsheetml/2006/main" count="267" uniqueCount="134">
  <si>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</si>
  <si>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</si>
  <si>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</si>
  <si>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</si>
  <si>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</si>
  <si>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</si>
  <si>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</si>
  <si>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</si>
  <si>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</si>
  <si>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</si>
  <si>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</si>
  <si>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</si>
  <si>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</si>
  <si>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</si>
  <si>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</si>
  <si>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</si>
  <si>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</si>
  <si>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</si>
  <si>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</si>
  <si>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</si>
  <si>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</si>
  <si>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</si>
  <si>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</si>
  <si>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</si>
  <si>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</si>
  <si>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</si>
  <si>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</si>
  <si>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</si>
  <si>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</si>
  <si>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</si>
  <si>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Bull.108</t>
  </si>
  <si>
    <t>B</t>
  </si>
  <si>
    <t>BBSAG Bull.112</t>
  </si>
  <si>
    <t>Pashke</t>
  </si>
  <si>
    <t>http://anton.paschke.com/stars/CMi0.htm</t>
  </si>
  <si>
    <t>EA/DS</t>
  </si>
  <si>
    <t># of data points:</t>
  </si>
  <si>
    <t>TZ CMi / gsc 0191-0711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</si>
  <si>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</si>
  <si>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</si>
  <si>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</si>
  <si>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</si>
  <si>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</si>
  <si>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</si>
  <si>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</si>
  <si>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</si>
  <si>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</si>
  <si>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OEJV 116</t>
  </si>
  <si>
    <t>I</t>
  </si>
  <si>
    <t>II</t>
  </si>
  <si>
    <t>BBSAG</t>
  </si>
  <si>
    <t>OEJV</t>
  </si>
  <si>
    <t>This is a better period</t>
  </si>
  <si>
    <t>New Period -- ToMcat 2011-07-02</t>
  </si>
  <si>
    <t>IBVS 6010</t>
  </si>
  <si>
    <t>OEJV 0142</t>
  </si>
  <si>
    <t>IBVS 6084</t>
  </si>
  <si>
    <t>IBVS 5984</t>
  </si>
  <si>
    <t>IBVS 6149</t>
  </si>
  <si>
    <t>OEJV 0172</t>
  </si>
  <si>
    <t>BAD?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</si>
  <si>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</si>
  <si>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</si>
  <si>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</si>
  <si>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</si>
  <si>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</si>
  <si>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</si>
  <si>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</si>
  <si>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</si>
  <si>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</si>
  <si>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</si>
  <si>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</si>
  <si>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2449787.310 </t>
  </si>
  <si>
    <t> 10.03.1995 19:26 </t>
  </si>
  <si>
    <t> 0.011 </t>
  </si>
  <si>
    <t>C </t>
  </si>
  <si>
    <t>o</t>
  </si>
  <si>
    <t> A.Paschke </t>
  </si>
  <si>
    <t>OEJV 0116 </t>
  </si>
  <si>
    <t>2450153.36 </t>
  </si>
  <si>
    <t> 10.03.1996 20:38 </t>
  </si>
  <si>
    <t> 0.04 </t>
  </si>
  <si>
    <t>E </t>
  </si>
  <si>
    <t>?</t>
  </si>
  <si>
    <t> BBS 112 </t>
  </si>
  <si>
    <t>2451580.135 </t>
  </si>
  <si>
    <t> 05.02.2000 15:14 </t>
  </si>
  <si>
    <t> 0.031 </t>
  </si>
  <si>
    <t>2454849.461 </t>
  </si>
  <si>
    <t> 17.01.2009 23:03 </t>
  </si>
  <si>
    <t> 0.019 </t>
  </si>
  <si>
    <t>V;I</t>
  </si>
  <si>
    <t>2454850.330 </t>
  </si>
  <si>
    <t> 18.01.2009 19:55 </t>
  </si>
  <si>
    <t> 0.000 </t>
  </si>
  <si>
    <t>2455599.2774 </t>
  </si>
  <si>
    <t> 06.02.2011 18:39 </t>
  </si>
  <si>
    <t> 0.0203 </t>
  </si>
  <si>
    <t>-I</t>
  </si>
  <si>
    <t> F.Agerer </t>
  </si>
  <si>
    <t>BAVM 215 </t>
  </si>
  <si>
    <t>2455621.5016 </t>
  </si>
  <si>
    <t> 01.03.2011 00:02 </t>
  </si>
  <si>
    <t>434</t>
  </si>
  <si>
    <t> 0.0343 </t>
  </si>
  <si>
    <t>BAVM 220 </t>
  </si>
  <si>
    <t>2455654.358 </t>
  </si>
  <si>
    <t> 02.04.2011 20:35 </t>
  </si>
  <si>
    <t>452.5</t>
  </si>
  <si>
    <t> 0.020 </t>
  </si>
  <si>
    <t>OEJV 0142 </t>
  </si>
  <si>
    <t>2456354.4207 </t>
  </si>
  <si>
    <t> 02.03.2013 22:05 </t>
  </si>
  <si>
    <t>846.5</t>
  </si>
  <si>
    <t> 0.0176 </t>
  </si>
  <si>
    <t>BAVM 232 </t>
  </si>
  <si>
    <t>2456713.3364 </t>
  </si>
  <si>
    <t> 24.02.2014 20:04 </t>
  </si>
  <si>
    <t>1048.5</t>
  </si>
  <si>
    <t> 0.0169 </t>
  </si>
  <si>
    <t>BAVM 238 </t>
  </si>
  <si>
    <t>2457013.615 </t>
  </si>
  <si>
    <t> 22.12.2014 02:45 </t>
  </si>
  <si>
    <t>1217.5</t>
  </si>
  <si>
    <t> 0.014 </t>
  </si>
  <si>
    <t>OEJV 0172 </t>
  </si>
  <si>
    <t>2457013.616 </t>
  </si>
  <si>
    <t> 22.12.2014 02:47 </t>
  </si>
  <si>
    <t> 0.015 </t>
  </si>
  <si>
    <t>2457014.502 </t>
  </si>
  <si>
    <t> 23.12.2014 00:02 </t>
  </si>
  <si>
    <t>1218</t>
  </si>
  <si>
    <t> 0.013 </t>
  </si>
  <si>
    <t>OEJV 0116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</si>
</sst>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176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176" fontId="14" fillId="0" borderId="0" xfId="0" applyNumberFormat="1" applyFont="1" applyFill="1" applyBorder="1" applyAlignment="1" applyProtection="1">
      <alignment horizontal="left" vertical="top"/>
      <protection/>
    </xf>
    <xf numFmtId="0" fontId="16" fillId="0" borderId="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8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8" fillId="33" borderId="18" xfId="54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TZ CMi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5"/>
          <c:w val="0.906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Active!$D$21:$D$43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0.03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0.0007</c:v>
                  </c:pt>
                  <c:pt idx="9">
                    <c:v>0.01</c:v>
                  </c:pt>
                  <c:pt idx="10">
                    <c:v>0.005</c:v>
                  </c:pt>
                  <c:pt idx="11">
                    <c:v>0.0012</c:v>
                  </c:pt>
                  <c:pt idx="12">
                    <c:v>0.0011</c:v>
                  </c:pt>
                  <c:pt idx="13">
                    <c:v>0.02</c:v>
                  </c:pt>
                  <c:pt idx="14">
                    <c:v>0.005</c:v>
                  </c:pt>
                  <c:pt idx="15">
                    <c:v>0.008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Active!$F$21:$F$992</c:f>
              <c:numCache/>
            </c:numRef>
          </c:xVal>
          <c:yVal>
            <c:numRef>
              <c:f>Active!$O$21:$O$992</c:f>
              <c:numCache/>
            </c:numRef>
          </c:yVal>
          <c:smooth val="0"/>
        </c:ser>
        <c:ser>
          <c:idx val="8"/>
          <c:order val="8"/>
          <c:tx>
            <c:strRef>
              <c:f>Active!$V$20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Active!$V$21:$V$992</c:f>
              <c:numCache/>
            </c:numRef>
          </c:yVal>
          <c:smooth val="0"/>
        </c:ser>
        <c:axId val="47738688"/>
        <c:axId val="26995009"/>
      </c:scatterChart>
      <c:valAx>
        <c:axId val="4773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crossBetween val="midCat"/>
        <c:dispUnits/>
      </c:valAx>
      <c:valAx>
        <c:axId val="269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95"/>
          <c:y val="0.9305"/>
          <c:w val="0.799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TZ CMi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0.03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1628490"/>
        <c:axId val="39112091"/>
      </c:scatterChart>
      <c:valAx>
        <c:axId val="41628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 val="autoZero"/>
        <c:crossBetween val="midCat"/>
        <c:dispUnits/>
      </c:valAx>
      <c:valAx>
        <c:axId val="3911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75"/>
          <c:w val="1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304800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5819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28575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91477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116.pdf" TargetMode="External" /><Relationship Id="rId2" Type="http://schemas.openxmlformats.org/officeDocument/2006/relationships/hyperlink" Target="http://var.astro.cz/oejv/issues/oejv0116.pdf" TargetMode="External" /><Relationship Id="rId3" Type="http://schemas.openxmlformats.org/officeDocument/2006/relationships/hyperlink" Target="http://var.astro.cz/oejv/issues/oejv0116.pdf" TargetMode="External" /><Relationship Id="rId4" Type="http://schemas.openxmlformats.org/officeDocument/2006/relationships/hyperlink" Target="http://var.astro.cz/oejv/issues/oejv0116.pdf" TargetMode="External" /><Relationship Id="rId5" Type="http://schemas.openxmlformats.org/officeDocument/2006/relationships/hyperlink" Target="http://www.bav-astro.de/sfs/BAVM_link.php?BAVMnr=215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hyperlink" Target="http://var.astro.cz/oejv/issues/oejv0142.pdf" TargetMode="External" /><Relationship Id="rId8" Type="http://schemas.openxmlformats.org/officeDocument/2006/relationships/hyperlink" Target="http://www.bav-astro.de/sfs/BAVM_link.php?BAVMnr=232" TargetMode="External" /><Relationship Id="rId9" Type="http://schemas.openxmlformats.org/officeDocument/2006/relationships/hyperlink" Target="http://www.bav-astro.de/sfs/BAVM_link.php?BAVMnr=238" TargetMode="External" /><Relationship Id="rId10" Type="http://schemas.openxmlformats.org/officeDocument/2006/relationships/hyperlink" Target="http://var.astro.cz/oejv/issues/oejv0172.pdf" TargetMode="External" /><Relationship Id="rId11" Type="http://schemas.openxmlformats.org/officeDocument/2006/relationships/hyperlink" Target="http://var.astro.cz/oejv/issues/oejv0172.pdf" TargetMode="External" /><Relationship Id="rId12" Type="http://schemas.openxmlformats.org/officeDocument/2006/relationships/hyperlink" Target="http://var.astro.cz/oejv/issues/oejv01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2754"/>
  <sheetViews>
    <sheetView tabSelected="1" zoomScalePageLayoutView="0" workbookViewId="0" topLeftCell="A1">
      <selection activeCell="F12" sqref="F12:F1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8" width="9.8515625" style="0" customWidth="1"/>
  </cols>
  <sheetData>
    <row r="1" ht="20.25">
      <c r="A1" s="1" t="s">
        <v>37</v>
      </c>
    </row>
    <row r="2" spans="1:3" ht="12.75">
      <c r="A2" t="s">
        <v>25</v>
      </c>
      <c r="B2" s="9" t="s">
        <v>35</v>
      </c>
      <c r="C2" s="7" t="s">
        <v>34</v>
      </c>
    </row>
    <row r="3" ht="13.5" thickBot="1"/>
    <row r="4" spans="1:4" ht="14.25" thickBot="1" thickTop="1">
      <c r="A4" s="4" t="s">
        <v>0</v>
      </c>
      <c r="C4" s="2">
        <v>25217.53</v>
      </c>
      <c r="D4" s="8">
        <v>11.662</v>
      </c>
    </row>
    <row r="5" spans="1:4" ht="13.5" thickTop="1">
      <c r="A5" s="14" t="s">
        <v>38</v>
      </c>
      <c r="B5" s="15"/>
      <c r="C5" s="16">
        <v>-9.5</v>
      </c>
      <c r="D5" s="15" t="s">
        <v>39</v>
      </c>
    </row>
    <row r="6" ht="12.75">
      <c r="A6" s="4" t="s">
        <v>1</v>
      </c>
    </row>
    <row r="7" spans="1:4" ht="12.75">
      <c r="A7" t="s">
        <v>2</v>
      </c>
      <c r="C7">
        <f>+C4</f>
        <v>25217.53</v>
      </c>
      <c r="D7" s="7" t="s">
        <v>52</v>
      </c>
    </row>
    <row r="8" spans="1:4" ht="12.75">
      <c r="A8" t="s">
        <v>3</v>
      </c>
      <c r="C8" s="36">
        <v>0.8425</v>
      </c>
      <c r="D8" s="7" t="s">
        <v>53</v>
      </c>
    </row>
    <row r="9" spans="1:4" ht="12.75">
      <c r="A9" s="31" t="s">
        <v>46</v>
      </c>
      <c r="B9" s="32">
        <v>22</v>
      </c>
      <c r="C9" s="19" t="str">
        <f>"F"&amp;B9</f>
        <v>F22</v>
      </c>
      <c r="D9" s="20" t="str">
        <f>"G"&amp;B9</f>
        <v>G22</v>
      </c>
    </row>
    <row r="10" spans="1:5" ht="13.5" thickBot="1">
      <c r="A10" s="15"/>
      <c r="B10" s="15"/>
      <c r="C10" s="3" t="s">
        <v>21</v>
      </c>
      <c r="D10" s="3" t="s">
        <v>22</v>
      </c>
      <c r="E10" s="15"/>
    </row>
    <row r="11" spans="1:5" ht="12.75">
      <c r="A11" s="15" t="s">
        <v>16</v>
      </c>
      <c r="B11" s="15"/>
      <c r="C11" s="17">
        <f ca="1">INTERCEPT(INDIRECT($D$9):G991,INDIRECT($C$9):F991)</f>
        <v>0.6330904535949116</v>
      </c>
      <c r="D11" s="18"/>
      <c r="E11" s="15"/>
    </row>
    <row r="12" spans="1:5" ht="12.75">
      <c r="A12" s="15" t="s">
        <v>17</v>
      </c>
      <c r="B12" s="15"/>
      <c r="C12" s="17">
        <f ca="1">SLOPE(INDIRECT($D$9):G991,INDIRECT($C$9):F991)</f>
        <v>-2.3206883753385774E-05</v>
      </c>
      <c r="D12" s="18"/>
      <c r="E12" s="15"/>
    </row>
    <row r="13" spans="1:3" ht="12.75">
      <c r="A13" s="15" t="s">
        <v>20</v>
      </c>
      <c r="B13" s="15"/>
      <c r="C13" s="18" t="s">
        <v>14</v>
      </c>
    </row>
    <row r="14" spans="1:3" ht="12.75">
      <c r="A14" s="15"/>
      <c r="B14" s="15"/>
      <c r="C14" s="15"/>
    </row>
    <row r="15" spans="1:6" ht="12.75">
      <c r="A15" s="23" t="s">
        <v>18</v>
      </c>
      <c r="B15" s="15"/>
      <c r="C15" s="24">
        <f>(C7+C11)+(C8+C12)*INT(MAX(F21:F3532))</f>
        <v>57014.07973945385</v>
      </c>
      <c r="E15" s="21" t="s">
        <v>40</v>
      </c>
      <c r="F15" s="16">
        <v>1</v>
      </c>
    </row>
    <row r="16" spans="1:6" ht="12.75">
      <c r="A16" s="25" t="s">
        <v>4</v>
      </c>
      <c r="B16" s="15"/>
      <c r="C16" s="26">
        <f>+C8+C12</f>
        <v>0.8424767931162467</v>
      </c>
      <c r="E16" s="21" t="s">
        <v>41</v>
      </c>
      <c r="F16" s="22">
        <f ca="1">NOW()+15018.5+$C$5/24</f>
        <v>59895.85365497685</v>
      </c>
    </row>
    <row r="17" spans="1:6" ht="13.5" thickBot="1">
      <c r="A17" s="21" t="s">
        <v>36</v>
      </c>
      <c r="B17" s="15"/>
      <c r="C17" s="15">
        <f>COUNT(C21:C2190)</f>
        <v>16</v>
      </c>
      <c r="E17" s="21" t="s">
        <v>42</v>
      </c>
      <c r="F17" s="22">
        <f>ROUND(2*(F16-$C$7)/$C$8,0)/2+F15</f>
        <v>41162</v>
      </c>
    </row>
    <row r="18" spans="1:6" ht="14.25" thickBot="1" thickTop="1">
      <c r="A18" s="25" t="s">
        <v>5</v>
      </c>
      <c r="B18" s="15"/>
      <c r="C18" s="28">
        <f>+C15</f>
        <v>57014.07973945385</v>
      </c>
      <c r="D18" s="29">
        <f>+C16</f>
        <v>0.8424767931162467</v>
      </c>
      <c r="E18" s="21" t="s">
        <v>43</v>
      </c>
      <c r="F18" s="20">
        <f>ROUND(2*(F16-$C$15)/$C$16,0)/2+F15</f>
        <v>3421.5</v>
      </c>
    </row>
    <row r="19" spans="5:19" ht="13.5" thickTop="1">
      <c r="E19" s="21" t="s">
        <v>44</v>
      </c>
      <c r="F19" s="27">
        <f>+$C$15+$C$16*F18-15018.5-$C$5/24</f>
        <v>44878.50992043443</v>
      </c>
      <c r="S19">
        <f>SQRT(SUM(S22:S27)/(COUNT(S22:S27)-1))</f>
        <v>0.05846012543973248</v>
      </c>
    </row>
    <row r="20" spans="1:22" ht="13.5" thickBot="1">
      <c r="A20" s="3" t="s">
        <v>6</v>
      </c>
      <c r="B20" s="3" t="s">
        <v>7</v>
      </c>
      <c r="C20" s="3" t="s">
        <v>8</v>
      </c>
      <c r="D20" s="3" t="s">
        <v>13</v>
      </c>
      <c r="E20" s="3" t="s">
        <v>9</v>
      </c>
      <c r="F20" s="3" t="s">
        <v>10</v>
      </c>
      <c r="G20" s="3" t="s">
        <v>11</v>
      </c>
      <c r="H20" s="6" t="s">
        <v>68</v>
      </c>
      <c r="I20" s="6" t="s">
        <v>71</v>
      </c>
      <c r="J20" s="6" t="s">
        <v>65</v>
      </c>
      <c r="K20" s="6" t="s">
        <v>63</v>
      </c>
      <c r="L20" s="6" t="s">
        <v>26</v>
      </c>
      <c r="M20" s="6" t="s">
        <v>27</v>
      </c>
      <c r="N20" s="6" t="s">
        <v>28</v>
      </c>
      <c r="O20" s="6" t="s">
        <v>24</v>
      </c>
      <c r="P20" s="5" t="s">
        <v>23</v>
      </c>
      <c r="Q20" s="3" t="s">
        <v>15</v>
      </c>
      <c r="R20" s="67"/>
      <c r="V20" s="53" t="s">
        <v>60</v>
      </c>
    </row>
    <row r="21" spans="1:18" s="11" customFormat="1" ht="12.75">
      <c r="A21" s="11" t="s">
        <v>12</v>
      </c>
      <c r="C21" s="12">
        <v>25217.53</v>
      </c>
      <c r="D21" s="12" t="s">
        <v>14</v>
      </c>
      <c r="E21" s="11">
        <f aca="true" t="shared" si="0" ref="E21:E36">+(C21-C$7)/C$8</f>
        <v>0</v>
      </c>
      <c r="F21" s="11">
        <f aca="true" t="shared" si="1" ref="F21:F28">ROUND(2*E21,0)/2</f>
        <v>0</v>
      </c>
      <c r="G21" s="11">
        <f aca="true" t="shared" si="2" ref="G21:G26">+C21-(C$7+F21*C$8)</f>
        <v>0</v>
      </c>
      <c r="H21" s="11">
        <f>+G21</f>
        <v>0</v>
      </c>
      <c r="O21" s="11">
        <f aca="true" t="shared" si="3" ref="O21:O36">+C$11+C$12*F21</f>
        <v>0.6330904535949116</v>
      </c>
      <c r="Q21" s="13">
        <f aca="true" t="shared" si="4" ref="Q21:Q36">+C21-15018.5</f>
        <v>10199.029999999999</v>
      </c>
      <c r="R21" s="13"/>
    </row>
    <row r="22" spans="1:32" s="11" customFormat="1" ht="12.75">
      <c r="A22" s="37" t="s">
        <v>30</v>
      </c>
      <c r="B22" s="37"/>
      <c r="C22" s="38">
        <v>49787.299</v>
      </c>
      <c r="D22" s="38"/>
      <c r="E22" s="37">
        <f t="shared" si="0"/>
        <v>29162.930563798218</v>
      </c>
      <c r="F22" s="11">
        <f t="shared" si="1"/>
        <v>29163</v>
      </c>
      <c r="G22" s="11">
        <f t="shared" si="2"/>
        <v>-0.05849999999918509</v>
      </c>
      <c r="I22" s="11">
        <f>+G22</f>
        <v>-0.05849999999918509</v>
      </c>
      <c r="O22" s="11">
        <f t="shared" si="3"/>
        <v>-0.04369189730507772</v>
      </c>
      <c r="Q22" s="13">
        <f t="shared" si="4"/>
        <v>34768.799</v>
      </c>
      <c r="R22" s="13"/>
      <c r="S22" s="11">
        <f>(O22-G22)^2</f>
        <v>0.00021927990539923002</v>
      </c>
      <c r="AB22" s="11">
        <v>1</v>
      </c>
      <c r="AD22" s="11" t="s">
        <v>29</v>
      </c>
      <c r="AF22" s="11" t="s">
        <v>31</v>
      </c>
    </row>
    <row r="23" spans="1:19" s="11" customFormat="1" ht="12.75">
      <c r="A23" s="39" t="s">
        <v>133</v>
      </c>
      <c r="B23" s="40" t="s">
        <v>48</v>
      </c>
      <c r="C23" s="38">
        <v>49787.31</v>
      </c>
      <c r="D23" s="41">
        <v>0.03</v>
      </c>
      <c r="E23" s="37">
        <f t="shared" si="0"/>
        <v>29162.94362017804</v>
      </c>
      <c r="F23" s="11">
        <f t="shared" si="1"/>
        <v>29163</v>
      </c>
      <c r="G23" s="11">
        <f t="shared" si="2"/>
        <v>-0.04750000000058208</v>
      </c>
      <c r="I23" s="11">
        <f>+G23</f>
        <v>-0.04750000000058208</v>
      </c>
      <c r="O23" s="11">
        <f t="shared" si="3"/>
        <v>-0.04369189730507772</v>
      </c>
      <c r="Q23" s="13">
        <f t="shared" si="4"/>
        <v>34768.81</v>
      </c>
      <c r="R23" s="13"/>
      <c r="S23" s="11">
        <f>(O23-G23)^2</f>
        <v>1.4501646139507544E-05</v>
      </c>
    </row>
    <row r="24" spans="1:32" s="11" customFormat="1" ht="12.75">
      <c r="A24" s="37" t="s">
        <v>32</v>
      </c>
      <c r="B24" s="37"/>
      <c r="C24" s="38">
        <v>50153.36</v>
      </c>
      <c r="D24" s="38">
        <v>0.02</v>
      </c>
      <c r="E24" s="37">
        <f t="shared" si="0"/>
        <v>29597.424332344213</v>
      </c>
      <c r="F24" s="11">
        <f t="shared" si="1"/>
        <v>29597.5</v>
      </c>
      <c r="G24" s="11">
        <f t="shared" si="2"/>
        <v>-0.06375000000116415</v>
      </c>
      <c r="I24" s="11">
        <f>+G24</f>
        <v>-0.06375000000116415</v>
      </c>
      <c r="O24" s="11">
        <f t="shared" si="3"/>
        <v>-0.05377528829592393</v>
      </c>
      <c r="Q24" s="13">
        <f t="shared" si="4"/>
        <v>35134.86</v>
      </c>
      <c r="R24" s="13"/>
      <c r="S24" s="11">
        <f>(O24-G24)^2</f>
        <v>9.949487360265635E-05</v>
      </c>
      <c r="AB24" s="11">
        <v>6</v>
      </c>
      <c r="AD24" s="11" t="s">
        <v>29</v>
      </c>
      <c r="AF24" s="11" t="s">
        <v>31</v>
      </c>
    </row>
    <row r="25" spans="1:32" s="11" customFormat="1" ht="12.75">
      <c r="A25" s="37" t="s">
        <v>32</v>
      </c>
      <c r="B25" s="37"/>
      <c r="C25" s="38">
        <v>50153.36</v>
      </c>
      <c r="D25" s="38">
        <v>0.02</v>
      </c>
      <c r="E25" s="37">
        <f t="shared" si="0"/>
        <v>29597.424332344213</v>
      </c>
      <c r="F25" s="11">
        <f t="shared" si="1"/>
        <v>29597.5</v>
      </c>
      <c r="G25" s="11">
        <f t="shared" si="2"/>
        <v>-0.06375000000116415</v>
      </c>
      <c r="I25" s="11">
        <f>+G25</f>
        <v>-0.06375000000116415</v>
      </c>
      <c r="O25" s="11">
        <f t="shared" si="3"/>
        <v>-0.05377528829592393</v>
      </c>
      <c r="Q25" s="13">
        <f t="shared" si="4"/>
        <v>35134.86</v>
      </c>
      <c r="R25" s="13"/>
      <c r="S25" s="11">
        <f>(O25-G25)^2</f>
        <v>9.949487360265635E-05</v>
      </c>
      <c r="AB25" s="11">
        <v>6</v>
      </c>
      <c r="AD25" s="11" t="s">
        <v>29</v>
      </c>
      <c r="AF25" s="11" t="s">
        <v>31</v>
      </c>
    </row>
    <row r="26" spans="1:19" ht="12.75">
      <c r="A26" s="39" t="s">
        <v>133</v>
      </c>
      <c r="B26" s="40" t="s">
        <v>48</v>
      </c>
      <c r="C26" s="38">
        <v>51580.135</v>
      </c>
      <c r="D26" s="41">
        <v>0.02</v>
      </c>
      <c r="E26" s="37">
        <f t="shared" si="0"/>
        <v>31290.92581602374</v>
      </c>
      <c r="F26" s="11">
        <f t="shared" si="1"/>
        <v>31291</v>
      </c>
      <c r="G26" s="11">
        <f t="shared" si="2"/>
        <v>-0.06249999999272404</v>
      </c>
      <c r="H26" s="11"/>
      <c r="I26" s="11">
        <f>+G26</f>
        <v>-0.06249999999272404</v>
      </c>
      <c r="K26" s="11"/>
      <c r="L26" s="11"/>
      <c r="M26" s="11"/>
      <c r="N26" s="11"/>
      <c r="O26" s="11">
        <f t="shared" si="3"/>
        <v>-0.09307614593228264</v>
      </c>
      <c r="P26" s="11"/>
      <c r="Q26" s="13">
        <f t="shared" si="4"/>
        <v>36561.635</v>
      </c>
      <c r="R26" s="13"/>
      <c r="S26" s="11">
        <f>(O26-G26)^2</f>
        <v>0.0009349007005171856</v>
      </c>
    </row>
    <row r="27" spans="1:22" ht="12.75">
      <c r="A27" s="39" t="s">
        <v>133</v>
      </c>
      <c r="B27" s="40" t="s">
        <v>48</v>
      </c>
      <c r="C27" s="38">
        <v>54849.461</v>
      </c>
      <c r="D27" s="41">
        <v>0.015</v>
      </c>
      <c r="E27" s="37">
        <f t="shared" si="0"/>
        <v>35171.431454005935</v>
      </c>
      <c r="F27" s="11">
        <f t="shared" si="1"/>
        <v>35171.5</v>
      </c>
      <c r="H27" s="11"/>
      <c r="I27" s="11"/>
      <c r="K27" s="11"/>
      <c r="L27" s="11"/>
      <c r="M27" s="11"/>
      <c r="N27" s="11"/>
      <c r="O27" s="11">
        <f t="shared" si="3"/>
        <v>-0.18313045833729613</v>
      </c>
      <c r="P27" s="11"/>
      <c r="Q27" s="13">
        <f t="shared" si="4"/>
        <v>39830.961</v>
      </c>
      <c r="R27" s="13"/>
      <c r="S27" s="11">
        <f>(O27-V27)^2</f>
        <v>0.015720259332885046</v>
      </c>
      <c r="V27" s="11">
        <f>+C27-(C$7+F27*C$8)</f>
        <v>-0.05774999999994179</v>
      </c>
    </row>
    <row r="28" spans="1:22" ht="12.75">
      <c r="A28" s="39" t="s">
        <v>133</v>
      </c>
      <c r="B28" s="40" t="s">
        <v>49</v>
      </c>
      <c r="C28" s="38">
        <v>54850.33</v>
      </c>
      <c r="D28" s="41">
        <v>0.05</v>
      </c>
      <c r="E28" s="37">
        <f t="shared" si="0"/>
        <v>35172.46290801187</v>
      </c>
      <c r="F28" s="11">
        <f t="shared" si="1"/>
        <v>35172.5</v>
      </c>
      <c r="H28" s="11"/>
      <c r="I28" s="11"/>
      <c r="K28" s="11"/>
      <c r="L28" s="11"/>
      <c r="M28" s="11"/>
      <c r="N28" s="11"/>
      <c r="O28" s="11">
        <f t="shared" si="3"/>
        <v>-0.1831536652210496</v>
      </c>
      <c r="P28" s="11"/>
      <c r="Q28" s="13">
        <f t="shared" si="4"/>
        <v>39831.83</v>
      </c>
      <c r="R28" s="13"/>
      <c r="S28" s="11">
        <f>(O28-V28)^2</f>
        <v>0.02307472350758871</v>
      </c>
      <c r="V28" s="11">
        <f>+C28-(C$7+F28*C$8)</f>
        <v>-0.03125</v>
      </c>
    </row>
    <row r="29" spans="1:22" ht="12.75">
      <c r="A29" s="46" t="s">
        <v>57</v>
      </c>
      <c r="B29" s="46"/>
      <c r="C29" s="47">
        <v>55599.2774</v>
      </c>
      <c r="D29" s="47">
        <v>0.0007</v>
      </c>
      <c r="E29" s="37">
        <f t="shared" si="0"/>
        <v>36061.4212462908</v>
      </c>
      <c r="F29" s="11">
        <f>ROUND(2*E29,0)/2+0.5</f>
        <v>36062</v>
      </c>
      <c r="H29" s="11"/>
      <c r="J29" s="11"/>
      <c r="L29" s="11"/>
      <c r="M29" s="11"/>
      <c r="N29" s="11"/>
      <c r="O29" s="11">
        <f t="shared" si="3"/>
        <v>-0.20379618831968627</v>
      </c>
      <c r="P29" s="11"/>
      <c r="Q29" s="13">
        <f t="shared" si="4"/>
        <v>40580.7774</v>
      </c>
      <c r="R29" s="13"/>
      <c r="S29" s="11">
        <f>(O29-V29)^2</f>
        <v>0.08054460352449304</v>
      </c>
      <c r="V29" s="11">
        <f>+C29-(C$7+F29*C$8)</f>
        <v>-0.48760000000038417</v>
      </c>
    </row>
    <row r="30" spans="1:19" ht="12.75">
      <c r="A30" s="42" t="s">
        <v>54</v>
      </c>
      <c r="B30" s="43" t="s">
        <v>48</v>
      </c>
      <c r="C30" s="42">
        <v>55621.5016</v>
      </c>
      <c r="D30" s="42">
        <v>0.01</v>
      </c>
      <c r="E30" s="37">
        <f t="shared" si="0"/>
        <v>36087.800118694366</v>
      </c>
      <c r="F30" s="11">
        <f>ROUND(2*E30,0)/2</f>
        <v>36088</v>
      </c>
      <c r="G30" s="11">
        <f aca="true" t="shared" si="5" ref="G30:G36">+C30-(C$7+F30*C$8)</f>
        <v>-0.16839999999501742</v>
      </c>
      <c r="H30" s="11"/>
      <c r="J30" s="11">
        <f>+G30</f>
        <v>-0.16839999999501742</v>
      </c>
      <c r="L30" s="11"/>
      <c r="M30" s="11"/>
      <c r="N30" s="11"/>
      <c r="O30" s="11">
        <f t="shared" si="3"/>
        <v>-0.20439956729727426</v>
      </c>
      <c r="P30" s="11"/>
      <c r="Q30" s="13">
        <f t="shared" si="4"/>
        <v>40603.0016</v>
      </c>
      <c r="R30" s="13"/>
      <c r="S30" s="11">
        <f aca="true" t="shared" si="6" ref="S30:S36">(O30-G30)^2</f>
        <v>0.0012959688459497198</v>
      </c>
    </row>
    <row r="31" spans="1:19" ht="12.75">
      <c r="A31" s="42" t="s">
        <v>55</v>
      </c>
      <c r="B31" s="43" t="s">
        <v>48</v>
      </c>
      <c r="C31" s="42">
        <v>55654.358</v>
      </c>
      <c r="D31" s="42">
        <v>0.005</v>
      </c>
      <c r="E31" s="37">
        <f t="shared" si="0"/>
        <v>36126.79881305638</v>
      </c>
      <c r="F31" s="11">
        <f>ROUND(2*E31,0)/2</f>
        <v>36127</v>
      </c>
      <c r="G31" s="11">
        <f t="shared" si="5"/>
        <v>-0.16949999999633292</v>
      </c>
      <c r="H31" s="11"/>
      <c r="I31" s="11">
        <f>+G31</f>
        <v>-0.16949999999633292</v>
      </c>
      <c r="K31" s="11"/>
      <c r="L31" s="11"/>
      <c r="M31" s="11"/>
      <c r="O31" s="11">
        <f t="shared" si="3"/>
        <v>-0.20530463576365632</v>
      </c>
      <c r="P31" s="11"/>
      <c r="Q31" s="13">
        <f t="shared" si="4"/>
        <v>40635.858</v>
      </c>
      <c r="R31" s="13"/>
      <c r="S31" s="11">
        <f t="shared" si="6"/>
        <v>0.001281971942430694</v>
      </c>
    </row>
    <row r="32" spans="1:19" ht="12.75">
      <c r="A32" s="44" t="s">
        <v>56</v>
      </c>
      <c r="B32" s="45" t="s">
        <v>48</v>
      </c>
      <c r="C32" s="44">
        <v>56354.4207</v>
      </c>
      <c r="D32" s="44">
        <v>0.0012</v>
      </c>
      <c r="E32" s="37">
        <f t="shared" si="0"/>
        <v>36957.733768546</v>
      </c>
      <c r="F32" s="11">
        <f>ROUND(2*E32,0)/2+0.5</f>
        <v>36958</v>
      </c>
      <c r="G32" s="11">
        <f t="shared" si="5"/>
        <v>-0.22430000000167638</v>
      </c>
      <c r="H32" s="11"/>
      <c r="J32" s="11">
        <f>+G32</f>
        <v>-0.22430000000167638</v>
      </c>
      <c r="L32" s="11"/>
      <c r="M32" s="11"/>
      <c r="N32" s="11"/>
      <c r="O32" s="11">
        <f t="shared" si="3"/>
        <v>-0.22458955616271992</v>
      </c>
      <c r="P32" s="11"/>
      <c r="Q32" s="13">
        <f t="shared" si="4"/>
        <v>41335.9207</v>
      </c>
      <c r="R32" s="13"/>
      <c r="S32" s="11">
        <f t="shared" si="6"/>
        <v>8.384277039827014E-08</v>
      </c>
    </row>
    <row r="33" spans="1:19" ht="12.75">
      <c r="A33" s="48" t="s">
        <v>58</v>
      </c>
      <c r="B33" s="49" t="s">
        <v>48</v>
      </c>
      <c r="C33" s="48">
        <v>56713.3364</v>
      </c>
      <c r="D33" s="48">
        <v>0.0011</v>
      </c>
      <c r="E33" s="37">
        <f t="shared" si="0"/>
        <v>37383.74646884273</v>
      </c>
      <c r="F33" s="11">
        <f>ROUND(2*E33,0)/2+0.5</f>
        <v>37384</v>
      </c>
      <c r="G33" s="11">
        <f t="shared" si="5"/>
        <v>-0.21360000000277068</v>
      </c>
      <c r="H33" s="11"/>
      <c r="J33" s="11">
        <f>+G33</f>
        <v>-0.21360000000277068</v>
      </c>
      <c r="L33" s="11"/>
      <c r="M33" s="11"/>
      <c r="N33" s="11"/>
      <c r="O33" s="11">
        <f t="shared" si="3"/>
        <v>-0.23447568864166224</v>
      </c>
      <c r="P33" s="11"/>
      <c r="Q33" s="13">
        <f t="shared" si="4"/>
        <v>41694.8364</v>
      </c>
      <c r="R33" s="13"/>
      <c r="S33" s="11">
        <f t="shared" si="6"/>
        <v>0.0004357943761479459</v>
      </c>
    </row>
    <row r="34" spans="1:19" ht="12.75">
      <c r="A34" s="50" t="s">
        <v>59</v>
      </c>
      <c r="B34" s="51" t="s">
        <v>48</v>
      </c>
      <c r="C34" s="52">
        <v>57013.615</v>
      </c>
      <c r="D34" s="52">
        <v>0.02</v>
      </c>
      <c r="E34" s="37">
        <f t="shared" si="0"/>
        <v>37740.16023738872</v>
      </c>
      <c r="F34" s="11">
        <f>ROUND(2*E34,0)/2+0.5</f>
        <v>37740.5</v>
      </c>
      <c r="G34" s="11">
        <f t="shared" si="5"/>
        <v>-0.28624999999738066</v>
      </c>
      <c r="H34" s="11"/>
      <c r="I34" s="11">
        <f>+G34</f>
        <v>-0.28624999999738066</v>
      </c>
      <c r="L34" s="11"/>
      <c r="M34" s="11"/>
      <c r="N34" s="11"/>
      <c r="O34" s="11">
        <f t="shared" si="3"/>
        <v>-0.24274894269974423</v>
      </c>
      <c r="P34" s="11"/>
      <c r="Q34" s="13">
        <f t="shared" si="4"/>
        <v>41995.115</v>
      </c>
      <c r="R34" s="13"/>
      <c r="S34" s="11">
        <f t="shared" si="6"/>
        <v>0.0018923419860122472</v>
      </c>
    </row>
    <row r="35" spans="1:19" ht="12.75">
      <c r="A35" s="50" t="s">
        <v>59</v>
      </c>
      <c r="B35" s="51" t="s">
        <v>48</v>
      </c>
      <c r="C35" s="52">
        <v>57013.616</v>
      </c>
      <c r="D35" s="52">
        <v>0.005</v>
      </c>
      <c r="E35" s="37">
        <f t="shared" si="0"/>
        <v>37740.16142433235</v>
      </c>
      <c r="F35" s="11">
        <f>ROUND(2*E35,0)/2+0.5</f>
        <v>37740.5</v>
      </c>
      <c r="G35" s="11">
        <f t="shared" si="5"/>
        <v>-0.28524999999353895</v>
      </c>
      <c r="H35" s="11"/>
      <c r="I35" s="11">
        <f>+G35</f>
        <v>-0.28524999999353895</v>
      </c>
      <c r="L35" s="11"/>
      <c r="M35" s="11"/>
      <c r="N35" s="11"/>
      <c r="O35" s="11">
        <f t="shared" si="3"/>
        <v>-0.24274894269974423</v>
      </c>
      <c r="P35" s="11"/>
      <c r="Q35" s="13">
        <f t="shared" si="4"/>
        <v>41995.116</v>
      </c>
      <c r="R35" s="13"/>
      <c r="S35" s="11">
        <f t="shared" si="6"/>
        <v>0.0018063398710904213</v>
      </c>
    </row>
    <row r="36" spans="1:19" ht="12.75">
      <c r="A36" s="50" t="s">
        <v>59</v>
      </c>
      <c r="B36" s="51" t="s">
        <v>49</v>
      </c>
      <c r="C36" s="52">
        <v>57014.502</v>
      </c>
      <c r="D36" s="52">
        <v>0.008</v>
      </c>
      <c r="E36" s="37">
        <f t="shared" si="0"/>
        <v>37741.21305637982</v>
      </c>
      <c r="F36" s="11">
        <f>ROUND(2*E36,0)/2+0.5</f>
        <v>37741.5</v>
      </c>
      <c r="G36" s="11">
        <f t="shared" si="5"/>
        <v>-0.24175000000104774</v>
      </c>
      <c r="H36" s="11"/>
      <c r="I36" s="11">
        <f>+G36</f>
        <v>-0.24175000000104774</v>
      </c>
      <c r="L36" s="11"/>
      <c r="M36" s="11"/>
      <c r="N36" s="11"/>
      <c r="O36" s="11">
        <f t="shared" si="3"/>
        <v>-0.24277214958349758</v>
      </c>
      <c r="P36" s="11"/>
      <c r="Q36" s="13">
        <f t="shared" si="4"/>
        <v>41996.002</v>
      </c>
      <c r="R36" s="13"/>
      <c r="S36" s="11">
        <f t="shared" si="6"/>
        <v>1.0447897689023788E-06</v>
      </c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55"/>
  <sheetViews>
    <sheetView zoomScalePageLayoutView="0" workbookViewId="0" topLeftCell="A1">
      <selection activeCell="D8" sqref="D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37</v>
      </c>
      <c r="C1" s="7" t="s">
        <v>34</v>
      </c>
    </row>
    <row r="2" spans="1:2" ht="12.75">
      <c r="A2" t="s">
        <v>25</v>
      </c>
      <c r="B2" s="9" t="s">
        <v>35</v>
      </c>
    </row>
    <row r="4" spans="1:4" ht="12.75">
      <c r="A4" s="4" t="s">
        <v>0</v>
      </c>
      <c r="C4" s="2">
        <v>25217.53</v>
      </c>
      <c r="D4" s="8">
        <v>11.662</v>
      </c>
    </row>
    <row r="6" ht="12.75">
      <c r="A6" s="4" t="s">
        <v>1</v>
      </c>
    </row>
    <row r="7" spans="1:3" ht="12.75">
      <c r="A7" t="s">
        <v>2</v>
      </c>
      <c r="C7">
        <f>+C4</f>
        <v>25217.53</v>
      </c>
    </row>
    <row r="8" spans="1:5" ht="12.75">
      <c r="A8" t="s">
        <v>3</v>
      </c>
      <c r="C8">
        <v>0.88</v>
      </c>
      <c r="D8">
        <f>R19</f>
        <v>0.062260761544185826</v>
      </c>
      <c r="E8" s="7" t="s">
        <v>33</v>
      </c>
    </row>
    <row r="9" spans="1:5" ht="12.75">
      <c r="A9" s="14" t="s">
        <v>38</v>
      </c>
      <c r="B9" s="15"/>
      <c r="C9" s="16">
        <v>8</v>
      </c>
      <c r="D9" s="15" t="s">
        <v>39</v>
      </c>
      <c r="E9" s="15"/>
    </row>
    <row r="10" spans="1:5" ht="13.5" thickBot="1">
      <c r="A10" s="15"/>
      <c r="B10" s="15"/>
      <c r="C10" s="3" t="s">
        <v>21</v>
      </c>
      <c r="D10" s="3" t="s">
        <v>22</v>
      </c>
      <c r="E10" s="15"/>
    </row>
    <row r="11" spans="1:7" ht="12.75">
      <c r="A11" s="15" t="s">
        <v>16</v>
      </c>
      <c r="B11" s="15"/>
      <c r="C11" s="17">
        <f ca="1">INTERCEPT(INDIRECT($G$11):G992,INDIRECT($F$11):F992)</f>
        <v>0.014492368435263164</v>
      </c>
      <c r="D11" s="18"/>
      <c r="E11" s="15"/>
      <c r="F11" s="19" t="str">
        <f>"F"&amp;E19</f>
        <v>F21</v>
      </c>
      <c r="G11" s="20" t="str">
        <f>"G"&amp;E19</f>
        <v>G21</v>
      </c>
    </row>
    <row r="12" spans="1:5" ht="12.75">
      <c r="A12" s="15" t="s">
        <v>17</v>
      </c>
      <c r="B12" s="15"/>
      <c r="C12" s="17">
        <f ca="1">SLOPE(INDIRECT($G$11):G992,INDIRECT($F$11):F992)</f>
        <v>3.76073766014085E-06</v>
      </c>
      <c r="D12" s="18"/>
      <c r="E12" s="15"/>
    </row>
    <row r="13" spans="1:5" ht="12.75">
      <c r="A13" s="15" t="s">
        <v>20</v>
      </c>
      <c r="B13" s="15"/>
      <c r="C13" s="18" t="s">
        <v>14</v>
      </c>
      <c r="D13" s="21" t="s">
        <v>40</v>
      </c>
      <c r="E13" s="16">
        <v>1</v>
      </c>
    </row>
    <row r="14" spans="1:5" ht="12.75">
      <c r="A14" s="15"/>
      <c r="B14" s="15"/>
      <c r="C14" s="15"/>
      <c r="D14" s="21" t="s">
        <v>41</v>
      </c>
      <c r="E14" s="22">
        <f ca="1">NOW()+15018.5+$C$9/24</f>
        <v>59896.58282164352</v>
      </c>
    </row>
    <row r="15" spans="1:5" ht="12.75">
      <c r="A15" s="23" t="s">
        <v>18</v>
      </c>
      <c r="B15" s="15"/>
      <c r="C15" s="24">
        <f>(C7+C11)+(C8+C12)*INT(MAX(F21:F3533))</f>
        <v>54849.911127687665</v>
      </c>
      <c r="D15" s="21" t="s">
        <v>42</v>
      </c>
      <c r="E15" s="22">
        <f>ROUND(2*(E14-$C$7)/$C$8,0)/2+E13</f>
        <v>39409</v>
      </c>
    </row>
    <row r="16" spans="1:5" ht="12.75">
      <c r="A16" s="25" t="s">
        <v>4</v>
      </c>
      <c r="B16" s="15"/>
      <c r="C16" s="26">
        <f>+C8+C12</f>
        <v>0.8800037607376602</v>
      </c>
      <c r="D16" s="21" t="s">
        <v>43</v>
      </c>
      <c r="E16" s="20">
        <f>ROUND(2*(E14-$C$15)/$C$16,0)/2+E13</f>
        <v>5736</v>
      </c>
    </row>
    <row r="17" spans="1:5" ht="13.5" thickBot="1">
      <c r="A17" s="21" t="s">
        <v>36</v>
      </c>
      <c r="B17" s="15"/>
      <c r="C17" s="15">
        <f>COUNT(C21:C2191)</f>
        <v>8</v>
      </c>
      <c r="D17" s="21" t="s">
        <v>44</v>
      </c>
      <c r="E17" s="27">
        <f>+$C$15+$C$16*E16-15018.5-$C$9/24</f>
        <v>44878.77936594555</v>
      </c>
    </row>
    <row r="18" spans="1:5" ht="14.25" thickBot="1" thickTop="1">
      <c r="A18" s="25" t="s">
        <v>5</v>
      </c>
      <c r="B18" s="15"/>
      <c r="C18" s="28">
        <f>+C15</f>
        <v>54849.911127687665</v>
      </c>
      <c r="D18" s="29">
        <f>+C16</f>
        <v>0.8800037607376602</v>
      </c>
      <c r="E18" s="30" t="s">
        <v>45</v>
      </c>
    </row>
    <row r="19" spans="1:18" ht="13.5" thickTop="1">
      <c r="A19" s="31" t="s">
        <v>46</v>
      </c>
      <c r="E19" s="32">
        <v>21</v>
      </c>
      <c r="R19">
        <f>SQRT(SUM(R22:R28)/(COUNT(R22:R28)-1))</f>
        <v>0.062260761544185826</v>
      </c>
    </row>
    <row r="20" spans="1:17" ht="13.5" thickBot="1">
      <c r="A20" s="3" t="s">
        <v>6</v>
      </c>
      <c r="B20" s="3" t="s">
        <v>7</v>
      </c>
      <c r="C20" s="3" t="s">
        <v>8</v>
      </c>
      <c r="D20" s="3" t="s">
        <v>13</v>
      </c>
      <c r="E20" s="3" t="s">
        <v>9</v>
      </c>
      <c r="F20" s="3" t="s">
        <v>10</v>
      </c>
      <c r="G20" s="3" t="s">
        <v>11</v>
      </c>
      <c r="H20" s="6" t="s">
        <v>12</v>
      </c>
      <c r="I20" s="6" t="s">
        <v>50</v>
      </c>
      <c r="J20" s="6" t="s">
        <v>51</v>
      </c>
      <c r="K20" s="6" t="s">
        <v>19</v>
      </c>
      <c r="L20" s="6" t="s">
        <v>26</v>
      </c>
      <c r="M20" s="6" t="s">
        <v>27</v>
      </c>
      <c r="N20" s="6" t="s">
        <v>28</v>
      </c>
      <c r="O20" s="6" t="s">
        <v>24</v>
      </c>
      <c r="P20" s="5" t="s">
        <v>23</v>
      </c>
      <c r="Q20" s="3" t="s">
        <v>15</v>
      </c>
    </row>
    <row r="21" spans="1:17" s="11" customFormat="1" ht="12.75">
      <c r="A21" s="11" t="s">
        <v>12</v>
      </c>
      <c r="C21" s="12">
        <v>25217.53</v>
      </c>
      <c r="D21" s="12" t="s">
        <v>14</v>
      </c>
      <c r="E21" s="11">
        <f aca="true" t="shared" si="0" ref="E21:E28">+(C21-C$7)/C$8</f>
        <v>0</v>
      </c>
      <c r="F21" s="11">
        <f aca="true" t="shared" si="1" ref="F21:F28">ROUND(2*E21,0)/2</f>
        <v>0</v>
      </c>
      <c r="G21" s="11">
        <f aca="true" t="shared" si="2" ref="G21:G28">+C21-(C$7+F21*C$8)</f>
        <v>0</v>
      </c>
      <c r="H21" s="11">
        <f>+G21</f>
        <v>0</v>
      </c>
      <c r="O21" s="11">
        <f aca="true" t="shared" si="3" ref="O21:O28">+C$11+C$12*F21</f>
        <v>0.014492368435263164</v>
      </c>
      <c r="Q21" s="13">
        <f aca="true" t="shared" si="4" ref="Q21:Q28">+C21-15018.5</f>
        <v>10199.029999999999</v>
      </c>
    </row>
    <row r="22" spans="1:31" s="11" customFormat="1" ht="12.75">
      <c r="A22" s="11" t="s">
        <v>30</v>
      </c>
      <c r="C22" s="12">
        <v>49787.299</v>
      </c>
      <c r="D22" s="12"/>
      <c r="E22" s="11">
        <f t="shared" si="0"/>
        <v>27920.192045454547</v>
      </c>
      <c r="F22" s="11">
        <f t="shared" si="1"/>
        <v>27920</v>
      </c>
      <c r="G22" s="11">
        <f t="shared" si="2"/>
        <v>0.16900000000168802</v>
      </c>
      <c r="I22" s="11">
        <f>+G22</f>
        <v>0.16900000000168802</v>
      </c>
      <c r="O22" s="11">
        <f t="shared" si="3"/>
        <v>0.1194921639063957</v>
      </c>
      <c r="Q22" s="13">
        <f t="shared" si="4"/>
        <v>34768.799</v>
      </c>
      <c r="R22" s="11">
        <f>(O22-G22)^2</f>
        <v>0.00245102583483833</v>
      </c>
      <c r="AA22" s="11">
        <v>1</v>
      </c>
      <c r="AC22" s="11" t="s">
        <v>29</v>
      </c>
      <c r="AE22" s="11" t="s">
        <v>31</v>
      </c>
    </row>
    <row r="23" spans="1:31" s="11" customFormat="1" ht="12.75">
      <c r="A23" s="11" t="s">
        <v>32</v>
      </c>
      <c r="C23" s="12">
        <v>50153.36</v>
      </c>
      <c r="D23" s="12">
        <v>0.02</v>
      </c>
      <c r="E23" s="11">
        <f t="shared" si="0"/>
        <v>28336.170454545456</v>
      </c>
      <c r="F23" s="11">
        <f t="shared" si="1"/>
        <v>28336</v>
      </c>
      <c r="G23" s="11">
        <f t="shared" si="2"/>
        <v>0.1500000000014552</v>
      </c>
      <c r="I23" s="11">
        <f>+G23</f>
        <v>0.1500000000014552</v>
      </c>
      <c r="O23" s="11">
        <f t="shared" si="3"/>
        <v>0.12105663077301429</v>
      </c>
      <c r="Q23" s="13">
        <f t="shared" si="4"/>
        <v>35134.86</v>
      </c>
      <c r="R23" s="11">
        <f aca="true" t="shared" si="5" ref="R23:R28">(O23-G23)^2</f>
        <v>0.0008377186222938597</v>
      </c>
      <c r="AA23" s="11">
        <v>6</v>
      </c>
      <c r="AC23" s="11" t="s">
        <v>29</v>
      </c>
      <c r="AE23" s="11" t="s">
        <v>31</v>
      </c>
    </row>
    <row r="24" spans="1:31" s="11" customFormat="1" ht="12.75">
      <c r="A24" s="11" t="s">
        <v>32</v>
      </c>
      <c r="C24" s="12">
        <v>50153.36</v>
      </c>
      <c r="D24" s="12">
        <v>0.02</v>
      </c>
      <c r="E24" s="11">
        <f t="shared" si="0"/>
        <v>28336.170454545456</v>
      </c>
      <c r="F24" s="11">
        <f t="shared" si="1"/>
        <v>28336</v>
      </c>
      <c r="G24" s="11">
        <f t="shared" si="2"/>
        <v>0.1500000000014552</v>
      </c>
      <c r="I24" s="11">
        <f>+G24</f>
        <v>0.1500000000014552</v>
      </c>
      <c r="O24" s="11">
        <f t="shared" si="3"/>
        <v>0.12105663077301429</v>
      </c>
      <c r="Q24" s="13">
        <f t="shared" si="4"/>
        <v>35134.86</v>
      </c>
      <c r="R24" s="11">
        <f t="shared" si="5"/>
        <v>0.0008377186222938597</v>
      </c>
      <c r="AA24" s="11">
        <v>6</v>
      </c>
      <c r="AC24" s="11" t="s">
        <v>29</v>
      </c>
      <c r="AE24" s="11" t="s">
        <v>31</v>
      </c>
    </row>
    <row r="25" spans="1:18" s="11" customFormat="1" ht="12.75">
      <c r="A25" s="33" t="s">
        <v>47</v>
      </c>
      <c r="B25" s="34" t="s">
        <v>48</v>
      </c>
      <c r="C25" s="12">
        <v>49787.31</v>
      </c>
      <c r="D25" s="35">
        <v>0.03</v>
      </c>
      <c r="E25" s="11">
        <f t="shared" si="0"/>
        <v>27920.204545454544</v>
      </c>
      <c r="F25" s="11">
        <f t="shared" si="1"/>
        <v>27920</v>
      </c>
      <c r="G25" s="11">
        <f t="shared" si="2"/>
        <v>0.18000000000029104</v>
      </c>
      <c r="J25" s="11">
        <f>+G25</f>
        <v>0.18000000000029104</v>
      </c>
      <c r="O25" s="11">
        <f t="shared" si="3"/>
        <v>0.1194921639063957</v>
      </c>
      <c r="Q25" s="13">
        <f t="shared" si="4"/>
        <v>34768.81</v>
      </c>
      <c r="R25" s="11">
        <f t="shared" si="5"/>
        <v>0.0036611982287657044</v>
      </c>
    </row>
    <row r="26" spans="1:18" ht="12.75">
      <c r="A26" s="33" t="s">
        <v>47</v>
      </c>
      <c r="B26" s="34" t="s">
        <v>48</v>
      </c>
      <c r="C26" s="10">
        <v>51580.135</v>
      </c>
      <c r="D26" s="35">
        <v>0.02</v>
      </c>
      <c r="E26" s="11">
        <f t="shared" si="0"/>
        <v>29957.505681818184</v>
      </c>
      <c r="F26" s="11">
        <f t="shared" si="1"/>
        <v>29957.5</v>
      </c>
      <c r="G26" s="11">
        <f t="shared" si="2"/>
        <v>0.005000000004656613</v>
      </c>
      <c r="H26" s="11"/>
      <c r="J26" s="11">
        <f>+G26</f>
        <v>0.005000000004656613</v>
      </c>
      <c r="K26" s="11"/>
      <c r="L26" s="11"/>
      <c r="M26" s="11"/>
      <c r="N26" s="11"/>
      <c r="O26" s="11">
        <f t="shared" si="3"/>
        <v>0.12715466688893268</v>
      </c>
      <c r="P26" s="11"/>
      <c r="Q26" s="13">
        <f t="shared" si="4"/>
        <v>36561.635</v>
      </c>
      <c r="R26" s="11">
        <f t="shared" si="5"/>
        <v>0.014921762641608452</v>
      </c>
    </row>
    <row r="27" spans="1:18" ht="12.75">
      <c r="A27" s="33" t="s">
        <v>47</v>
      </c>
      <c r="B27" s="34" t="s">
        <v>48</v>
      </c>
      <c r="C27" s="10">
        <v>54849.461</v>
      </c>
      <c r="D27" s="35">
        <v>0.015</v>
      </c>
      <c r="E27" s="11">
        <f t="shared" si="0"/>
        <v>33672.648863636365</v>
      </c>
      <c r="F27" s="11">
        <f t="shared" si="1"/>
        <v>33672.5</v>
      </c>
      <c r="G27" s="11">
        <f t="shared" si="2"/>
        <v>0.13100000000122236</v>
      </c>
      <c r="H27" s="11"/>
      <c r="J27" s="11">
        <f>+G27</f>
        <v>0.13100000000122236</v>
      </c>
      <c r="K27" s="11"/>
      <c r="L27" s="11"/>
      <c r="M27" s="11"/>
      <c r="N27" s="11"/>
      <c r="O27" s="11">
        <f t="shared" si="3"/>
        <v>0.14112580729635593</v>
      </c>
      <c r="P27" s="11"/>
      <c r="Q27" s="13">
        <f t="shared" si="4"/>
        <v>39830.961</v>
      </c>
      <c r="R27" s="11">
        <f t="shared" si="5"/>
        <v>0.00010253197337818025</v>
      </c>
    </row>
    <row r="28" spans="1:18" ht="12.75">
      <c r="A28" s="33" t="s">
        <v>47</v>
      </c>
      <c r="B28" s="34" t="s">
        <v>49</v>
      </c>
      <c r="C28" s="10">
        <v>54850.33</v>
      </c>
      <c r="D28" s="35">
        <v>0.05</v>
      </c>
      <c r="E28" s="11">
        <f t="shared" si="0"/>
        <v>33673.63636363637</v>
      </c>
      <c r="F28" s="11">
        <f t="shared" si="1"/>
        <v>33673.5</v>
      </c>
      <c r="G28" s="11">
        <f t="shared" si="2"/>
        <v>0.12000000000261934</v>
      </c>
      <c r="H28" s="11"/>
      <c r="J28" s="11">
        <f>+G28</f>
        <v>0.12000000000261934</v>
      </c>
      <c r="K28" s="11"/>
      <c r="L28" s="11"/>
      <c r="M28" s="11"/>
      <c r="N28" s="11"/>
      <c r="O28" s="11">
        <f t="shared" si="3"/>
        <v>0.14112956803401608</v>
      </c>
      <c r="P28" s="11"/>
      <c r="Q28" s="13">
        <f t="shared" si="4"/>
        <v>39831.83</v>
      </c>
      <c r="R28" s="11">
        <f t="shared" si="5"/>
        <v>0.00044645864519342283</v>
      </c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1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0" customWidth="1"/>
    <col min="2" max="2" width="4.421875" style="15" customWidth="1"/>
    <col min="3" max="3" width="12.7109375" style="10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0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54" t="s">
        <v>61</v>
      </c>
      <c r="I1" s="55" t="s">
        <v>62</v>
      </c>
      <c r="J1" s="56" t="s">
        <v>63</v>
      </c>
    </row>
    <row r="2" spans="9:10" ht="12.75">
      <c r="I2" s="57" t="s">
        <v>64</v>
      </c>
      <c r="J2" s="58" t="s">
        <v>65</v>
      </c>
    </row>
    <row r="3" spans="1:10" ht="12.75">
      <c r="A3" s="59" t="s">
        <v>66</v>
      </c>
      <c r="I3" s="57" t="s">
        <v>67</v>
      </c>
      <c r="J3" s="58" t="s">
        <v>68</v>
      </c>
    </row>
    <row r="4" spans="9:10" ht="12.75">
      <c r="I4" s="57" t="s">
        <v>69</v>
      </c>
      <c r="J4" s="58" t="s">
        <v>68</v>
      </c>
    </row>
    <row r="5" spans="9:10" ht="13.5" thickBot="1">
      <c r="I5" s="60" t="s">
        <v>70</v>
      </c>
      <c r="J5" s="61" t="s">
        <v>71</v>
      </c>
    </row>
    <row r="10" ht="13.5" thickBot="1"/>
    <row r="11" spans="1:16" ht="12.75" customHeight="1" thickBot="1">
      <c r="A11" s="10" t="str">
        <f aca="true" t="shared" si="0" ref="A11:A23">P11</f>
        <v>OEJV 0116 </v>
      </c>
      <c r="B11" s="18" t="str">
        <f aca="true" t="shared" si="1" ref="B11:B23">IF(H11=INT(H11),"I","II")</f>
        <v>II</v>
      </c>
      <c r="C11" s="10">
        <f aca="true" t="shared" si="2" ref="C11:C23">1*G11</f>
        <v>49787.31</v>
      </c>
      <c r="D11" s="15" t="str">
        <f aca="true" t="shared" si="3" ref="D11:D23">VLOOKUP(F11,I$1:J$5,2,FALSE)</f>
        <v>vis</v>
      </c>
      <c r="E11" s="62">
        <f>VLOOKUP(C11,Active!C$21:E$973,3,FALSE)</f>
        <v>29162.94362017804</v>
      </c>
      <c r="F11" s="18" t="s">
        <v>70</v>
      </c>
      <c r="G11" s="15" t="str">
        <f aca="true" t="shared" si="4" ref="G11:G23">MID(I11,3,LEN(I11)-3)</f>
        <v>49787.310</v>
      </c>
      <c r="H11" s="10">
        <f aca="true" t="shared" si="5" ref="H11:H23">1*K11</f>
        <v>-2849.5</v>
      </c>
      <c r="I11" s="63" t="s">
        <v>72</v>
      </c>
      <c r="J11" s="64" t="s">
        <v>73</v>
      </c>
      <c r="K11" s="63">
        <v>-2849.5</v>
      </c>
      <c r="L11" s="63" t="s">
        <v>74</v>
      </c>
      <c r="M11" s="64" t="s">
        <v>75</v>
      </c>
      <c r="N11" s="64" t="s">
        <v>76</v>
      </c>
      <c r="O11" s="65" t="s">
        <v>77</v>
      </c>
      <c r="P11" s="66" t="s">
        <v>78</v>
      </c>
    </row>
    <row r="12" spans="1:16" ht="12.75" customHeight="1" thickBot="1">
      <c r="A12" s="10" t="str">
        <f t="shared" si="0"/>
        <v> BBS 112 </v>
      </c>
      <c r="B12" s="18" t="str">
        <f t="shared" si="1"/>
        <v>II</v>
      </c>
      <c r="C12" s="10">
        <f t="shared" si="2"/>
        <v>50153.36</v>
      </c>
      <c r="D12" s="15" t="str">
        <f t="shared" si="3"/>
        <v>vis</v>
      </c>
      <c r="E12" s="62">
        <f>VLOOKUP(C12,Active!C$21:E$973,3,FALSE)</f>
        <v>29597.424332344213</v>
      </c>
      <c r="F12" s="18" t="s">
        <v>70</v>
      </c>
      <c r="G12" s="15" t="str">
        <f t="shared" si="4"/>
        <v>50153.36</v>
      </c>
      <c r="H12" s="10">
        <f t="shared" si="5"/>
        <v>-2643.5</v>
      </c>
      <c r="I12" s="63" t="s">
        <v>79</v>
      </c>
      <c r="J12" s="64" t="s">
        <v>80</v>
      </c>
      <c r="K12" s="63">
        <v>-2643.5</v>
      </c>
      <c r="L12" s="63" t="s">
        <v>81</v>
      </c>
      <c r="M12" s="64" t="s">
        <v>82</v>
      </c>
      <c r="N12" s="64" t="s">
        <v>83</v>
      </c>
      <c r="O12" s="65" t="s">
        <v>77</v>
      </c>
      <c r="P12" s="65" t="s">
        <v>84</v>
      </c>
    </row>
    <row r="13" spans="1:16" ht="12.75" customHeight="1" thickBot="1">
      <c r="A13" s="10" t="str">
        <f t="shared" si="0"/>
        <v>OEJV 0116 </v>
      </c>
      <c r="B13" s="18" t="str">
        <f t="shared" si="1"/>
        <v>II</v>
      </c>
      <c r="C13" s="10">
        <f t="shared" si="2"/>
        <v>51580.135</v>
      </c>
      <c r="D13" s="15" t="str">
        <f t="shared" si="3"/>
        <v>vis</v>
      </c>
      <c r="E13" s="62">
        <f>VLOOKUP(C13,Active!C$21:E$973,3,FALSE)</f>
        <v>31290.92581602374</v>
      </c>
      <c r="F13" s="18" t="s">
        <v>70</v>
      </c>
      <c r="G13" s="15" t="str">
        <f t="shared" si="4"/>
        <v>51580.135</v>
      </c>
      <c r="H13" s="10">
        <f t="shared" si="5"/>
        <v>-1840.5</v>
      </c>
      <c r="I13" s="63" t="s">
        <v>85</v>
      </c>
      <c r="J13" s="64" t="s">
        <v>86</v>
      </c>
      <c r="K13" s="63">
        <v>-1840.5</v>
      </c>
      <c r="L13" s="63" t="s">
        <v>87</v>
      </c>
      <c r="M13" s="64" t="s">
        <v>75</v>
      </c>
      <c r="N13" s="64" t="s">
        <v>76</v>
      </c>
      <c r="O13" s="65" t="s">
        <v>77</v>
      </c>
      <c r="P13" s="66" t="s">
        <v>78</v>
      </c>
    </row>
    <row r="14" spans="1:16" ht="12.75" customHeight="1" thickBot="1">
      <c r="A14" s="10" t="str">
        <f t="shared" si="0"/>
        <v>OEJV 0116 </v>
      </c>
      <c r="B14" s="18" t="str">
        <f t="shared" si="1"/>
        <v>II</v>
      </c>
      <c r="C14" s="10">
        <f t="shared" si="2"/>
        <v>54849.461</v>
      </c>
      <c r="D14" s="15" t="str">
        <f t="shared" si="3"/>
        <v>vis</v>
      </c>
      <c r="E14" s="62">
        <f>VLOOKUP(C14,Active!C$21:E$973,3,FALSE)</f>
        <v>35171.431454005935</v>
      </c>
      <c r="F14" s="18" t="s">
        <v>70</v>
      </c>
      <c r="G14" s="15" t="str">
        <f t="shared" si="4"/>
        <v>54849.461</v>
      </c>
      <c r="H14" s="10">
        <f t="shared" si="5"/>
        <v>-0.5</v>
      </c>
      <c r="I14" s="63" t="s">
        <v>88</v>
      </c>
      <c r="J14" s="64" t="s">
        <v>89</v>
      </c>
      <c r="K14" s="63">
        <v>-0.5</v>
      </c>
      <c r="L14" s="63" t="s">
        <v>90</v>
      </c>
      <c r="M14" s="64" t="s">
        <v>75</v>
      </c>
      <c r="N14" s="64" t="s">
        <v>91</v>
      </c>
      <c r="O14" s="65" t="s">
        <v>77</v>
      </c>
      <c r="P14" s="66" t="s">
        <v>78</v>
      </c>
    </row>
    <row r="15" spans="1:16" ht="12.75" customHeight="1" thickBot="1">
      <c r="A15" s="10" t="str">
        <f t="shared" si="0"/>
        <v>OEJV 0116 </v>
      </c>
      <c r="B15" s="18" t="str">
        <f t="shared" si="1"/>
        <v>I</v>
      </c>
      <c r="C15" s="10">
        <f t="shared" si="2"/>
        <v>54850.33</v>
      </c>
      <c r="D15" s="15" t="str">
        <f t="shared" si="3"/>
        <v>vis</v>
      </c>
      <c r="E15" s="62">
        <f>VLOOKUP(C15,Active!C$21:E$973,3,FALSE)</f>
        <v>35172.46290801187</v>
      </c>
      <c r="F15" s="18" t="s">
        <v>70</v>
      </c>
      <c r="G15" s="15" t="str">
        <f t="shared" si="4"/>
        <v>54850.330</v>
      </c>
      <c r="H15" s="10">
        <f t="shared" si="5"/>
        <v>0</v>
      </c>
      <c r="I15" s="63" t="s">
        <v>92</v>
      </c>
      <c r="J15" s="64" t="s">
        <v>93</v>
      </c>
      <c r="K15" s="63">
        <v>0</v>
      </c>
      <c r="L15" s="63" t="s">
        <v>94</v>
      </c>
      <c r="M15" s="64" t="s">
        <v>75</v>
      </c>
      <c r="N15" s="64" t="s">
        <v>91</v>
      </c>
      <c r="O15" s="65" t="s">
        <v>77</v>
      </c>
      <c r="P15" s="66" t="s">
        <v>78</v>
      </c>
    </row>
    <row r="16" spans="1:16" ht="12.75" customHeight="1" thickBot="1">
      <c r="A16" s="10" t="str">
        <f t="shared" si="0"/>
        <v>BAVM 215 </v>
      </c>
      <c r="B16" s="18" t="str">
        <f t="shared" si="1"/>
        <v>II</v>
      </c>
      <c r="C16" s="10">
        <f t="shared" si="2"/>
        <v>55599.2774</v>
      </c>
      <c r="D16" s="15" t="str">
        <f t="shared" si="3"/>
        <v>vis</v>
      </c>
      <c r="E16" s="62">
        <f>VLOOKUP(C16,Active!C$21:E$973,3,FALSE)</f>
        <v>36061.4212462908</v>
      </c>
      <c r="F16" s="18" t="s">
        <v>70</v>
      </c>
      <c r="G16" s="15" t="str">
        <f t="shared" si="4"/>
        <v>55599.2774</v>
      </c>
      <c r="H16" s="10">
        <f t="shared" si="5"/>
        <v>421.5</v>
      </c>
      <c r="I16" s="63" t="s">
        <v>95</v>
      </c>
      <c r="J16" s="64" t="s">
        <v>96</v>
      </c>
      <c r="K16" s="63">
        <v>421.5</v>
      </c>
      <c r="L16" s="63" t="s">
        <v>97</v>
      </c>
      <c r="M16" s="64" t="s">
        <v>75</v>
      </c>
      <c r="N16" s="64" t="s">
        <v>98</v>
      </c>
      <c r="O16" s="65" t="s">
        <v>99</v>
      </c>
      <c r="P16" s="66" t="s">
        <v>100</v>
      </c>
    </row>
    <row r="17" spans="1:16" ht="12.75" customHeight="1" thickBot="1">
      <c r="A17" s="10" t="str">
        <f t="shared" si="0"/>
        <v>BAVM 220 </v>
      </c>
      <c r="B17" s="18" t="str">
        <f t="shared" si="1"/>
        <v>I</v>
      </c>
      <c r="C17" s="10">
        <f t="shared" si="2"/>
        <v>55621.5016</v>
      </c>
      <c r="D17" s="15" t="str">
        <f t="shared" si="3"/>
        <v>vis</v>
      </c>
      <c r="E17" s="62">
        <f>VLOOKUP(C17,Active!C$21:E$973,3,FALSE)</f>
        <v>36087.800118694366</v>
      </c>
      <c r="F17" s="18" t="s">
        <v>70</v>
      </c>
      <c r="G17" s="15" t="str">
        <f t="shared" si="4"/>
        <v>55621.5016</v>
      </c>
      <c r="H17" s="10">
        <f t="shared" si="5"/>
        <v>434</v>
      </c>
      <c r="I17" s="63" t="s">
        <v>101</v>
      </c>
      <c r="J17" s="64" t="s">
        <v>102</v>
      </c>
      <c r="K17" s="63" t="s">
        <v>103</v>
      </c>
      <c r="L17" s="63" t="s">
        <v>104</v>
      </c>
      <c r="M17" s="64" t="s">
        <v>75</v>
      </c>
      <c r="N17" s="64" t="s">
        <v>98</v>
      </c>
      <c r="O17" s="65" t="s">
        <v>99</v>
      </c>
      <c r="P17" s="66" t="s">
        <v>105</v>
      </c>
    </row>
    <row r="18" spans="1:16" ht="12.75" customHeight="1" thickBot="1">
      <c r="A18" s="10" t="str">
        <f t="shared" si="0"/>
        <v>OEJV 0142 </v>
      </c>
      <c r="B18" s="18" t="str">
        <f t="shared" si="1"/>
        <v>II</v>
      </c>
      <c r="C18" s="10">
        <f t="shared" si="2"/>
        <v>55654.358</v>
      </c>
      <c r="D18" s="15" t="str">
        <f t="shared" si="3"/>
        <v>vis</v>
      </c>
      <c r="E18" s="62">
        <f>VLOOKUP(C18,Active!C$21:E$973,3,FALSE)</f>
        <v>36126.79881305638</v>
      </c>
      <c r="F18" s="18" t="s">
        <v>70</v>
      </c>
      <c r="G18" s="15" t="str">
        <f t="shared" si="4"/>
        <v>55654.358</v>
      </c>
      <c r="H18" s="10">
        <f t="shared" si="5"/>
        <v>452.5</v>
      </c>
      <c r="I18" s="63" t="s">
        <v>106</v>
      </c>
      <c r="J18" s="64" t="s">
        <v>107</v>
      </c>
      <c r="K18" s="63" t="s">
        <v>108</v>
      </c>
      <c r="L18" s="63" t="s">
        <v>109</v>
      </c>
      <c r="M18" s="64" t="s">
        <v>75</v>
      </c>
      <c r="N18" s="64" t="s">
        <v>76</v>
      </c>
      <c r="O18" s="65" t="s">
        <v>77</v>
      </c>
      <c r="P18" s="66" t="s">
        <v>110</v>
      </c>
    </row>
    <row r="19" spans="1:16" ht="12.75" customHeight="1" thickBot="1">
      <c r="A19" s="10" t="str">
        <f t="shared" si="0"/>
        <v>BAVM 232 </v>
      </c>
      <c r="B19" s="18" t="str">
        <f t="shared" si="1"/>
        <v>II</v>
      </c>
      <c r="C19" s="10">
        <f t="shared" si="2"/>
        <v>56354.4207</v>
      </c>
      <c r="D19" s="15" t="str">
        <f t="shared" si="3"/>
        <v>vis</v>
      </c>
      <c r="E19" s="62">
        <f>VLOOKUP(C19,Active!C$21:E$973,3,FALSE)</f>
        <v>36957.733768546</v>
      </c>
      <c r="F19" s="18" t="s">
        <v>70</v>
      </c>
      <c r="G19" s="15" t="str">
        <f t="shared" si="4"/>
        <v>56354.4207</v>
      </c>
      <c r="H19" s="10">
        <f t="shared" si="5"/>
        <v>846.5</v>
      </c>
      <c r="I19" s="63" t="s">
        <v>111</v>
      </c>
      <c r="J19" s="64" t="s">
        <v>112</v>
      </c>
      <c r="K19" s="63" t="s">
        <v>113</v>
      </c>
      <c r="L19" s="63" t="s">
        <v>114</v>
      </c>
      <c r="M19" s="64" t="s">
        <v>75</v>
      </c>
      <c r="N19" s="64" t="s">
        <v>98</v>
      </c>
      <c r="O19" s="65" t="s">
        <v>99</v>
      </c>
      <c r="P19" s="66" t="s">
        <v>115</v>
      </c>
    </row>
    <row r="20" spans="1:16" ht="12.75" customHeight="1" thickBot="1">
      <c r="A20" s="10" t="str">
        <f t="shared" si="0"/>
        <v>BAVM 238 </v>
      </c>
      <c r="B20" s="18" t="str">
        <f t="shared" si="1"/>
        <v>II</v>
      </c>
      <c r="C20" s="10">
        <f t="shared" si="2"/>
        <v>56713.3364</v>
      </c>
      <c r="D20" s="15" t="str">
        <f t="shared" si="3"/>
        <v>vis</v>
      </c>
      <c r="E20" s="62">
        <f>VLOOKUP(C20,Active!C$21:E$973,3,FALSE)</f>
        <v>37383.74646884273</v>
      </c>
      <c r="F20" s="18" t="s">
        <v>70</v>
      </c>
      <c r="G20" s="15" t="str">
        <f t="shared" si="4"/>
        <v>56713.3364</v>
      </c>
      <c r="H20" s="10">
        <f t="shared" si="5"/>
        <v>1048.5</v>
      </c>
      <c r="I20" s="63" t="s">
        <v>116</v>
      </c>
      <c r="J20" s="64" t="s">
        <v>117</v>
      </c>
      <c r="K20" s="63" t="s">
        <v>118</v>
      </c>
      <c r="L20" s="63" t="s">
        <v>119</v>
      </c>
      <c r="M20" s="64" t="s">
        <v>75</v>
      </c>
      <c r="N20" s="64" t="s">
        <v>98</v>
      </c>
      <c r="O20" s="65" t="s">
        <v>99</v>
      </c>
      <c r="P20" s="66" t="s">
        <v>120</v>
      </c>
    </row>
    <row r="21" spans="1:16" ht="12.75" customHeight="1" thickBot="1">
      <c r="A21" s="10" t="str">
        <f t="shared" si="0"/>
        <v>OEJV 0172 </v>
      </c>
      <c r="B21" s="18" t="str">
        <f t="shared" si="1"/>
        <v>II</v>
      </c>
      <c r="C21" s="10">
        <f t="shared" si="2"/>
        <v>57013.615</v>
      </c>
      <c r="D21" s="15" t="str">
        <f t="shared" si="3"/>
        <v>vis</v>
      </c>
      <c r="E21" s="62">
        <f>VLOOKUP(C21,Active!C$21:E$973,3,FALSE)</f>
        <v>37740.16023738872</v>
      </c>
      <c r="F21" s="18" t="s">
        <v>70</v>
      </c>
      <c r="G21" s="15" t="str">
        <f t="shared" si="4"/>
        <v>57013.615</v>
      </c>
      <c r="H21" s="10">
        <f t="shared" si="5"/>
        <v>1217.5</v>
      </c>
      <c r="I21" s="63" t="s">
        <v>121</v>
      </c>
      <c r="J21" s="64" t="s">
        <v>122</v>
      </c>
      <c r="K21" s="63" t="s">
        <v>123</v>
      </c>
      <c r="L21" s="63" t="s">
        <v>124</v>
      </c>
      <c r="M21" s="64" t="s">
        <v>75</v>
      </c>
      <c r="N21" s="64" t="s">
        <v>48</v>
      </c>
      <c r="O21" s="65" t="s">
        <v>77</v>
      </c>
      <c r="P21" s="66" t="s">
        <v>125</v>
      </c>
    </row>
    <row r="22" spans="1:16" ht="12.75" customHeight="1" thickBot="1">
      <c r="A22" s="10" t="str">
        <f t="shared" si="0"/>
        <v>OEJV 0172 </v>
      </c>
      <c r="B22" s="18" t="str">
        <f t="shared" si="1"/>
        <v>II</v>
      </c>
      <c r="C22" s="10">
        <f t="shared" si="2"/>
        <v>57013.616</v>
      </c>
      <c r="D22" s="15" t="str">
        <f t="shared" si="3"/>
        <v>vis</v>
      </c>
      <c r="E22" s="62">
        <f>VLOOKUP(C22,Active!C$21:E$973,3,FALSE)</f>
        <v>37740.16142433235</v>
      </c>
      <c r="F22" s="18" t="s">
        <v>70</v>
      </c>
      <c r="G22" s="15" t="str">
        <f t="shared" si="4"/>
        <v>57013.616</v>
      </c>
      <c r="H22" s="10">
        <f t="shared" si="5"/>
        <v>1217.5</v>
      </c>
      <c r="I22" s="63" t="s">
        <v>126</v>
      </c>
      <c r="J22" s="64" t="s">
        <v>127</v>
      </c>
      <c r="K22" s="63" t="s">
        <v>123</v>
      </c>
      <c r="L22" s="63" t="s">
        <v>128</v>
      </c>
      <c r="M22" s="64" t="s">
        <v>75</v>
      </c>
      <c r="N22" s="64" t="s">
        <v>70</v>
      </c>
      <c r="O22" s="65" t="s">
        <v>77</v>
      </c>
      <c r="P22" s="66" t="s">
        <v>125</v>
      </c>
    </row>
    <row r="23" spans="1:16" ht="12.75" customHeight="1" thickBot="1">
      <c r="A23" s="10" t="str">
        <f t="shared" si="0"/>
        <v>OEJV 0172 </v>
      </c>
      <c r="B23" s="18" t="str">
        <f t="shared" si="1"/>
        <v>I</v>
      </c>
      <c r="C23" s="10">
        <f t="shared" si="2"/>
        <v>57014.502</v>
      </c>
      <c r="D23" s="15" t="str">
        <f t="shared" si="3"/>
        <v>vis</v>
      </c>
      <c r="E23" s="62">
        <f>VLOOKUP(C23,Active!C$21:E$973,3,FALSE)</f>
        <v>37741.21305637982</v>
      </c>
      <c r="F23" s="18" t="s">
        <v>70</v>
      </c>
      <c r="G23" s="15" t="str">
        <f t="shared" si="4"/>
        <v>57014.502</v>
      </c>
      <c r="H23" s="10">
        <f t="shared" si="5"/>
        <v>1218</v>
      </c>
      <c r="I23" s="63" t="s">
        <v>129</v>
      </c>
      <c r="J23" s="64" t="s">
        <v>130</v>
      </c>
      <c r="K23" s="63" t="s">
        <v>131</v>
      </c>
      <c r="L23" s="63" t="s">
        <v>132</v>
      </c>
      <c r="M23" s="64" t="s">
        <v>75</v>
      </c>
      <c r="N23" s="64" t="s">
        <v>70</v>
      </c>
      <c r="O23" s="65" t="s">
        <v>77</v>
      </c>
      <c r="P23" s="66" t="s">
        <v>125</v>
      </c>
    </row>
    <row r="24" spans="2:6" ht="12.75">
      <c r="B24" s="18"/>
      <c r="F24" s="18"/>
    </row>
    <row r="25" spans="2:6" ht="12.75">
      <c r="B25" s="18"/>
      <c r="F25" s="18"/>
    </row>
    <row r="26" spans="2:6" ht="12.75">
      <c r="B26" s="18"/>
      <c r="F26" s="18"/>
    </row>
    <row r="27" spans="2:6" ht="12.75">
      <c r="B27" s="18"/>
      <c r="F27" s="18"/>
    </row>
    <row r="28" spans="2:6" ht="12.75">
      <c r="B28" s="18"/>
      <c r="F28" s="18"/>
    </row>
    <row r="29" spans="2:6" ht="12.75">
      <c r="B29" s="18"/>
      <c r="F29" s="18"/>
    </row>
    <row r="30" spans="2:6" ht="12.75">
      <c r="B30" s="18"/>
      <c r="F30" s="18"/>
    </row>
    <row r="31" spans="2:6" ht="12.75">
      <c r="B31" s="18"/>
      <c r="F31" s="18"/>
    </row>
    <row r="32" spans="2:6" ht="12.75">
      <c r="B32" s="18"/>
      <c r="F32" s="18"/>
    </row>
    <row r="33" spans="2:6" ht="12.75">
      <c r="B33" s="18"/>
      <c r="F33" s="18"/>
    </row>
    <row r="34" spans="2:6" ht="12.75">
      <c r="B34" s="18"/>
      <c r="F34" s="18"/>
    </row>
    <row r="35" spans="2:6" ht="12.75">
      <c r="B35" s="18"/>
      <c r="F35" s="18"/>
    </row>
    <row r="36" spans="2:6" ht="12.75">
      <c r="B36" s="18"/>
      <c r="F36" s="18"/>
    </row>
    <row r="37" spans="2:6" ht="12.75">
      <c r="B37" s="18"/>
      <c r="F37" s="18"/>
    </row>
    <row r="38" spans="2:6" ht="12.75">
      <c r="B38" s="18"/>
      <c r="F38" s="18"/>
    </row>
    <row r="39" spans="2:6" ht="12.75">
      <c r="B39" s="18"/>
      <c r="F39" s="18"/>
    </row>
    <row r="40" spans="2:6" ht="12.75">
      <c r="B40" s="18"/>
      <c r="F40" s="18"/>
    </row>
    <row r="41" spans="2:6" ht="12.75">
      <c r="B41" s="18"/>
      <c r="F41" s="18"/>
    </row>
    <row r="42" spans="2:6" ht="12.75">
      <c r="B42" s="18"/>
      <c r="F42" s="18"/>
    </row>
    <row r="43" spans="2:6" ht="12.75">
      <c r="B43" s="18"/>
      <c r="F43" s="18"/>
    </row>
    <row r="44" spans="2:6" ht="12.75">
      <c r="B44" s="18"/>
      <c r="F44" s="18"/>
    </row>
    <row r="45" spans="2:6" ht="12.75">
      <c r="B45" s="18"/>
      <c r="F45" s="18"/>
    </row>
    <row r="46" spans="2:6" ht="12.75">
      <c r="B46" s="18"/>
      <c r="F46" s="18"/>
    </row>
    <row r="47" spans="2:6" ht="12.75">
      <c r="B47" s="18"/>
      <c r="F47" s="18"/>
    </row>
    <row r="48" spans="2:6" ht="12.75">
      <c r="B48" s="18"/>
      <c r="F48" s="18"/>
    </row>
    <row r="49" spans="2:6" ht="12.75">
      <c r="B49" s="18"/>
      <c r="F49" s="18"/>
    </row>
    <row r="50" spans="2:6" ht="12.75">
      <c r="B50" s="18"/>
      <c r="F50" s="18"/>
    </row>
    <row r="51" spans="2:6" ht="12.75">
      <c r="B51" s="18"/>
      <c r="F51" s="18"/>
    </row>
    <row r="52" spans="2:6" ht="12.75">
      <c r="B52" s="18"/>
      <c r="F52" s="18"/>
    </row>
    <row r="53" spans="2:6" ht="12.75">
      <c r="B53" s="18"/>
      <c r="F53" s="18"/>
    </row>
    <row r="54" spans="2:6" ht="12.75">
      <c r="B54" s="18"/>
      <c r="F54" s="18"/>
    </row>
    <row r="55" spans="2:6" ht="12.75">
      <c r="B55" s="18"/>
      <c r="F55" s="18"/>
    </row>
    <row r="56" spans="2:6" ht="12.75">
      <c r="B56" s="18"/>
      <c r="F56" s="18"/>
    </row>
    <row r="57" spans="2:6" ht="12.75">
      <c r="B57" s="18"/>
      <c r="F57" s="18"/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</sheetData>
  <sheetProtection/>
  <hyperlinks>
    <hyperlink ref="P11" r:id="rId1" display="http://var.astro.cz/oejv/issues/oejv0116.pdf"/>
    <hyperlink ref="P13" r:id="rId2" display="http://var.astro.cz/oejv/issues/oejv0116.pdf"/>
    <hyperlink ref="P14" r:id="rId3" display="http://var.astro.cz/oejv/issues/oejv0116.pdf"/>
    <hyperlink ref="P15" r:id="rId4" display="http://var.astro.cz/oejv/issues/oejv0116.pdf"/>
    <hyperlink ref="P16" r:id="rId5" display="http://www.bav-astro.de/sfs/BAVM_link.php?BAVMnr=215"/>
    <hyperlink ref="P17" r:id="rId6" display="http://www.bav-astro.de/sfs/BAVM_link.php?BAVMnr=220"/>
    <hyperlink ref="P18" r:id="rId7" display="http://var.astro.cz/oejv/issues/oejv0142.pdf"/>
    <hyperlink ref="P19" r:id="rId8" display="http://www.bav-astro.de/sfs/BAVM_link.php?BAVMnr=232"/>
    <hyperlink ref="P20" r:id="rId9" display="http://www.bav-astro.de/sfs/BAVM_link.php?BAVMnr=238"/>
    <hyperlink ref="P21" r:id="rId10" display="http://var.astro.cz/oejv/issues/oejv0172.pdf"/>
    <hyperlink ref="P22" r:id="rId11" display="http://var.astro.cz/oejv/issues/oejv0172.pdf"/>
    <hyperlink ref="P23" r:id="rId12" display="http://var.astro.cz/oejv/issues/oejv0172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