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15" windowWidth="8265" windowHeight="134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<sst xmlns="http://schemas.openxmlformats.org/spreadsheetml/2006/main" count="370" uniqueCount="178">
  <si>
    <t>IBVS 6244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</si>
  <si>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</si>
  <si>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</si>
  <si>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</si>
  <si>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</si>
  <si>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</si>
  <si>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</si>
  <si>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</si>
  <si>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</si>
  <si>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</si>
  <si>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</si>
  <si>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</si>
  <si>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</si>
  <si>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</si>
  <si>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</si>
  <si>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</si>
  <si>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</si>
  <si>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</si>
  <si>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</si>
  <si>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</si>
  <si>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</si>
  <si>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</si>
  <si>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</si>
  <si>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</si>
  <si>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</si>
  <si>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</si>
  <si>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</si>
  <si>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</si>
  <si>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</si>
  <si>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</si>
  <si>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</si>
  <si>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</si>
  <si>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</si>
  <si>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</si>
  <si>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</si>
  <si>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</si>
  <si>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</si>
  <si>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DY CVn / GSC 2534-0216               </t>
  </si>
  <si>
    <t>EW</t>
  </si>
  <si>
    <t>IBVS 5781</t>
  </si>
  <si>
    <t>II</t>
  </si>
  <si>
    <t>IBVS 5403</t>
  </si>
  <si>
    <t>IBVS 5438</t>
  </si>
  <si>
    <t>IBVS 5543</t>
  </si>
  <si>
    <t>IBVS 5653</t>
  </si>
  <si>
    <t/>
  </si>
  <si>
    <t>IBVS 5713</t>
  </si>
  <si>
    <t>IBVS 5894</t>
  </si>
  <si>
    <t>IBVS 5965</t>
  </si>
  <si>
    <t>Add cycle</t>
  </si>
  <si>
    <t>Old Cycle</t>
  </si>
  <si>
    <t>IBVS 5959</t>
  </si>
  <si>
    <t>IBVS 5992</t>
  </si>
  <si>
    <t>IBVS 6010</t>
  </si>
  <si>
    <t>OEJV 0074</t>
  </si>
  <si>
    <t>IBVS 6029</t>
  </si>
  <si>
    <t>IBVS 6041</t>
  </si>
  <si>
    <t>IBVS 6063</t>
  </si>
  <si>
    <t>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</si>
  <si>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</si>
  <si>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</si>
  <si>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</si>
  <si>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</si>
  <si>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</si>
  <si>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</si>
  <si>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</si>
  <si>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</si>
  <si>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</si>
  <si>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</si>
  <si>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</si>
  <si>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2451968.4700 </t>
  </si>
  <si>
    <t> 27.02.2001 23:16 </t>
  </si>
  <si>
    <t> 0.0211 </t>
  </si>
  <si>
    <t>C </t>
  </si>
  <si>
    <t>o</t>
  </si>
  <si>
    <t> J.ï¿½afï¿½r </t>
  </si>
  <si>
    <t>OEJV 0074 </t>
  </si>
  <si>
    <t>2451968.5925 </t>
  </si>
  <si>
    <t> 28.02.2001 02:13 </t>
  </si>
  <si>
    <t> 0.0206 </t>
  </si>
  <si>
    <t>2452001.4288 </t>
  </si>
  <si>
    <t> 01.04.2001 22:17 </t>
  </si>
  <si>
    <t> 0.0225 </t>
  </si>
  <si>
    <t>2452001.5518 </t>
  </si>
  <si>
    <t> 02.04.2001 01:14 </t>
  </si>
  <si>
    <t>2454172.2952 </t>
  </si>
  <si>
    <t> 12.03.2007 19:05 </t>
  </si>
  <si>
    <t> 0.0059 </t>
  </si>
  <si>
    <t> E.BlÃ¤ttler </t>
  </si>
  <si>
    <t>IBVS 5781 </t>
  </si>
  <si>
    <t>2454172.4138 </t>
  </si>
  <si>
    <t> 12.03.2007 21:55 </t>
  </si>
  <si>
    <t> 0.0016 </t>
  </si>
  <si>
    <t>2454888.8673 </t>
  </si>
  <si>
    <t> 26.02.2009 08:48 </t>
  </si>
  <si>
    <t> 0.0010 </t>
  </si>
  <si>
    <t> R.Diethelm </t>
  </si>
  <si>
    <t>IBVS 5894 </t>
  </si>
  <si>
    <t>2454888.9895 </t>
  </si>
  <si>
    <t> 26.02.2009 11:44 </t>
  </si>
  <si>
    <t> 0.0002 </t>
  </si>
  <si>
    <t>2454972.4908 </t>
  </si>
  <si>
    <t> 20.05.2009 23:46 </t>
  </si>
  <si>
    <t> 0.0013 </t>
  </si>
  <si>
    <t>2455297.2885 </t>
  </si>
  <si>
    <t> 10.04.2010 18:55 </t>
  </si>
  <si>
    <t> 0.0212 </t>
  </si>
  <si>
    <t>m</t>
  </si>
  <si>
    <t> Y.Demircan </t>
  </si>
  <si>
    <t>IBVS 5965 </t>
  </si>
  <si>
    <t>2455309.4431 </t>
  </si>
  <si>
    <t> 22.04.2010 22:38 </t>
  </si>
  <si>
    <t> 0.0012 </t>
  </si>
  <si>
    <t>-I</t>
  </si>
  <si>
    <t> F.Agerer </t>
  </si>
  <si>
    <t>BAVM 214 </t>
  </si>
  <si>
    <t>2455309.5657 </t>
  </si>
  <si>
    <t> 23.04.2010 01:34 </t>
  </si>
  <si>
    <t>-2758</t>
  </si>
  <si>
    <t> 0.0009 </t>
  </si>
  <si>
    <t>2455622.9055 </t>
  </si>
  <si>
    <t> 02.03.2011 09:43 </t>
  </si>
  <si>
    <t>-1484</t>
  </si>
  <si>
    <t> -0.0004 </t>
  </si>
  <si>
    <t>IBVS 5992 </t>
  </si>
  <si>
    <t>2455669.3894 </t>
  </si>
  <si>
    <t> 17.04.2011 21:20 </t>
  </si>
  <si>
    <t>-1295</t>
  </si>
  <si>
    <t> -0.0012 </t>
  </si>
  <si>
    <t>BAVM 220 </t>
  </si>
  <si>
    <t>2455669.5145 </t>
  </si>
  <si>
    <t> 18.04.2011 00:20 </t>
  </si>
  <si>
    <t>-1294.5</t>
  </si>
  <si>
    <t>2455684.7634 </t>
  </si>
  <si>
    <t> 03.05.2011 06:19 </t>
  </si>
  <si>
    <t>-1232.5</t>
  </si>
  <si>
    <t>2455684.8839 </t>
  </si>
  <si>
    <t> 03.05.2011 09:12 </t>
  </si>
  <si>
    <t>-1232</t>
  </si>
  <si>
    <t> -0.0016 </t>
  </si>
  <si>
    <t>2455691.5255 </t>
  </si>
  <si>
    <t> 10.05.2011 00:36 </t>
  </si>
  <si>
    <t>-1205</t>
  </si>
  <si>
    <t> -0.0006 </t>
  </si>
  <si>
    <t> A.Okan &amp; Y.Sendag </t>
  </si>
  <si>
    <t>IBVS 6041 </t>
  </si>
  <si>
    <t>2455700.3803 </t>
  </si>
  <si>
    <t> 18.05.2011 21:07 </t>
  </si>
  <si>
    <t>-1169</t>
  </si>
  <si>
    <t> -0.0000 </t>
  </si>
  <si>
    <t>2455700.5035 </t>
  </si>
  <si>
    <t> 19.05.2011 00:05 </t>
  </si>
  <si>
    <t>-1168.5</t>
  </si>
  <si>
    <t>2455987.8966 </t>
  </si>
  <si>
    <t> 01.03.2012 09:31 </t>
  </si>
  <si>
    <t>0</t>
  </si>
  <si>
    <t> 0.0000 </t>
  </si>
  <si>
    <t>IBVS 6029 </t>
  </si>
  <si>
    <t>2456049.7524 </t>
  </si>
  <si>
    <t> 02.05.2012 06:03 </t>
  </si>
  <si>
    <t>251.5</t>
  </si>
  <si>
    <t> -0.0008 </t>
  </si>
  <si>
    <t>2456447.6983 </t>
  </si>
  <si>
    <t> 04.06.2013 04:45 </t>
  </si>
  <si>
    <t>1869.5</t>
  </si>
  <si>
    <t> -0.0029 </t>
  </si>
  <si>
    <t>B</t>
  </si>
  <si>
    <t>IBVS 6063 </t>
  </si>
  <si>
    <t>2456447.6988 </t>
  </si>
  <si>
    <t> 04.06.2013 04:46 </t>
  </si>
  <si>
    <t> -0.0024 </t>
  </si>
  <si>
    <t>R</t>
  </si>
  <si>
    <t>2456447.7009 </t>
  </si>
  <si>
    <t> 04.06.2013 04:49 </t>
  </si>
  <si>
    <t> -0.0003 </t>
  </si>
  <si>
    <t>BAD?</t>
  </si>
  <si>
    <t>JAVSO..45..215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</si>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</sst>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7" applyFill="1" applyBorder="1" applyAlignment="1" applyProtection="1">
      <alignment horizontal="right" vertical="top" wrapText="1"/>
      <protection/>
    </xf>
    <xf numFmtId="0" fontId="1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5" fillId="0" borderId="0" xfId="61" applyFont="1" applyAlignment="1">
      <alignment horizontal="left" vertical="center"/>
      <protection/>
    </xf>
    <xf numFmtId="0" fontId="15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left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left" wrapText="1"/>
      <protection/>
    </xf>
    <xf numFmtId="0" fontId="18" fillId="0" borderId="0" xfId="61" applyFont="1">
      <alignment/>
      <protection/>
    </xf>
    <xf numFmtId="0" fontId="18" fillId="0" borderId="0" xfId="61" applyFont="1" applyAlignment="1">
      <alignment horizontal="center"/>
      <protection/>
    </xf>
    <xf numFmtId="0" fontId="1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DY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A!$D$21:$D$218</c:f>
                <c:numCache>
                  <c:ptCount val="19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</c:numCache>
              </c:numRef>
            </c:plus>
            <c:minus>
              <c:numRef>
                <c:f>A!$D$21:$D$218</c:f>
                <c:numCache>
                  <c:ptCount val="19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A!$H$21:$H$978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A!$I$21:$I$978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A!$J$21:$J$978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A!$K$21:$K$978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A!$L$21:$L$978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A!$M$21:$M$978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plus>
            <c:minus>
              <c:numRef>
                <c:f>A!$D$21:$D$978</c:f>
                <c:numCache>
                  <c:ptCount val="958"/>
                  <c:pt idx="0">
                    <c:v>0.0005</c:v>
                  </c:pt>
                  <c:pt idx="1">
                    <c:v>0.0009</c:v>
                  </c:pt>
                  <c:pt idx="2">
                    <c:v>0.0023</c:v>
                  </c:pt>
                  <c:pt idx="3">
                    <c:v>0.0015</c:v>
                  </c:pt>
                  <c:pt idx="4">
                    <c:v>0.0017</c:v>
                  </c:pt>
                  <c:pt idx="5">
                    <c:v>0.002</c:v>
                  </c:pt>
                  <c:pt idx="6">
                    <c:v>0.0009</c:v>
                  </c:pt>
                  <c:pt idx="7">
                    <c:v>0.003</c:v>
                  </c:pt>
                  <c:pt idx="8">
                    <c:v>NaN</c:v>
                  </c:pt>
                  <c:pt idx="9">
                    <c:v>0.001</c:v>
                  </c:pt>
                  <c:pt idx="10">
                    <c:v>0.001</c:v>
                  </c:pt>
                  <c:pt idx="11">
                    <c:v>0.0014</c:v>
                  </c:pt>
                  <c:pt idx="12">
                    <c:v>0.001</c:v>
                  </c:pt>
                  <c:pt idx="13">
                    <c:v>0.0004</c:v>
                  </c:pt>
                  <c:pt idx="14">
                    <c:v>0.0007</c:v>
                  </c:pt>
                  <c:pt idx="15">
                    <c:v>0.0008</c:v>
                  </c:pt>
                  <c:pt idx="16">
                    <c:v>0.0008</c:v>
                  </c:pt>
                  <c:pt idx="17">
                    <c:v>0.0012</c:v>
                  </c:pt>
                  <c:pt idx="18">
                    <c:v>0.0009</c:v>
                  </c:pt>
                  <c:pt idx="19">
                    <c:v>0.0011</c:v>
                  </c:pt>
                  <c:pt idx="20">
                    <c:v>0.0011</c:v>
                  </c:pt>
                  <c:pt idx="21">
                    <c:v>0.002</c:v>
                  </c:pt>
                  <c:pt idx="22">
                    <c:v>0</c:v>
                  </c:pt>
                  <c:pt idx="23">
                    <c:v>0.003</c:v>
                  </c:pt>
                  <c:pt idx="24">
                    <c:v>0.0003</c:v>
                  </c:pt>
                  <c:pt idx="25">
                    <c:v>0.0015</c:v>
                  </c:pt>
                  <c:pt idx="26">
                    <c:v>0.0002</c:v>
                  </c:pt>
                  <c:pt idx="27">
                    <c:v>0.0015</c:v>
                  </c:pt>
                  <c:pt idx="28">
                    <c:v>0.0004</c:v>
                  </c:pt>
                  <c:pt idx="29">
                    <c:v>0.0001</c:v>
                  </c:pt>
                  <c:pt idx="30">
                    <c:v>0.0012</c:v>
                  </c:pt>
                  <c:pt idx="31">
                    <c:v>0.0008</c:v>
                  </c:pt>
                  <c:pt idx="32">
                    <c:v>0.0002</c:v>
                  </c:pt>
                  <c:pt idx="33">
                    <c:v>0.0008</c:v>
                  </c:pt>
                  <c:pt idx="34">
                    <c:v>0.0018</c:v>
                  </c:pt>
                  <c:pt idx="35">
                    <c:v>0.0003</c:v>
                  </c:pt>
                  <c:pt idx="36">
                    <c:v>0.0004</c:v>
                  </c:pt>
                  <c:pt idx="37">
                    <c:v>0.0004</c:v>
                  </c:pt>
                  <c:pt idx="38">
                    <c:v>0.0013</c:v>
                  </c:pt>
                  <c:pt idx="39">
                    <c:v>0.0003</c:v>
                  </c:pt>
                  <c:pt idx="40">
                    <c:v>0.0002</c:v>
                  </c:pt>
                  <c:pt idx="41">
                    <c:v>0.0003</c:v>
                  </c:pt>
                  <c:pt idx="42">
                    <c:v>0.00022</c:v>
                  </c:pt>
                  <c:pt idx="43">
                    <c:v>0.00013</c:v>
                  </c:pt>
                  <c:pt idx="44">
                    <c:v>0.0002</c:v>
                  </c:pt>
                  <c:pt idx="45">
                    <c:v>0.0008</c:v>
                  </c:pt>
                  <c:pt idx="46">
                    <c:v>0.0016</c:v>
                  </c:pt>
                  <c:pt idx="47">
                    <c:v>0.001</c:v>
                  </c:pt>
                  <c:pt idx="48">
                    <c:v>0.0001</c:v>
                  </c:pt>
                  <c:pt idx="49">
                    <c:v>0.0003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A!$F$21:$F$978</c:f>
              <c:numCache/>
            </c:numRef>
          </c:xVal>
          <c:yVal>
            <c:numRef>
              <c:f>A!$N$21:$N$978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A!$F$21:$F$978</c:f>
              <c:numCache/>
            </c:numRef>
          </c:xVal>
          <c:yVal>
            <c:numRef>
              <c:f>A!$O$21:$O$978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3505067"/>
        <c:axId val="54436740"/>
      </c:scatterChart>
      <c:val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</c:val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133350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467225" y="571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781" TargetMode="External" /><Relationship Id="rId6" Type="http://schemas.openxmlformats.org/officeDocument/2006/relationships/hyperlink" Target="http://www.konkoly.hu/cgi-bin/IBVS?5781" TargetMode="External" /><Relationship Id="rId7" Type="http://schemas.openxmlformats.org/officeDocument/2006/relationships/hyperlink" Target="http://www.konkoly.hu/cgi-bin/IBVS?5894" TargetMode="External" /><Relationship Id="rId8" Type="http://schemas.openxmlformats.org/officeDocument/2006/relationships/hyperlink" Target="http://www.konkoly.hu/cgi-bin/IBVS?5894" TargetMode="External" /><Relationship Id="rId9" Type="http://schemas.openxmlformats.org/officeDocument/2006/relationships/hyperlink" Target="http://www.konkoly.hu/cgi-bin/IBVS?5894" TargetMode="External" /><Relationship Id="rId10" Type="http://schemas.openxmlformats.org/officeDocument/2006/relationships/hyperlink" Target="http://www.konkoly.hu/cgi-bin/IBVS?5965" TargetMode="External" /><Relationship Id="rId11" Type="http://schemas.openxmlformats.org/officeDocument/2006/relationships/hyperlink" Target="http://www.bav-astro.de/sfs/BAVM_link.php?BAVMnr=214" TargetMode="External" /><Relationship Id="rId12" Type="http://schemas.openxmlformats.org/officeDocument/2006/relationships/hyperlink" Target="http://www.bav-astro.de/sfs/BAVM_link.php?BAVMnr=214" TargetMode="External" /><Relationship Id="rId13" Type="http://schemas.openxmlformats.org/officeDocument/2006/relationships/hyperlink" Target="http://www.konkoly.hu/cgi-bin/IBVS?5992" TargetMode="External" /><Relationship Id="rId14" Type="http://schemas.openxmlformats.org/officeDocument/2006/relationships/hyperlink" Target="http://www.bav-astro.de/sfs/BAVM_link.php?BAVMnr=220" TargetMode="External" /><Relationship Id="rId15" Type="http://schemas.openxmlformats.org/officeDocument/2006/relationships/hyperlink" Target="http://www.bav-astro.de/sfs/BAVM_link.php?BAVMnr=220" TargetMode="External" /><Relationship Id="rId16" Type="http://schemas.openxmlformats.org/officeDocument/2006/relationships/hyperlink" Target="http://www.konkoly.hu/cgi-bin/IBVS?5992" TargetMode="External" /><Relationship Id="rId17" Type="http://schemas.openxmlformats.org/officeDocument/2006/relationships/hyperlink" Target="http://www.konkoly.hu/cgi-bin/IBVS?5992" TargetMode="External" /><Relationship Id="rId18" Type="http://schemas.openxmlformats.org/officeDocument/2006/relationships/hyperlink" Target="http://www.konkoly.hu/cgi-bin/IBVS?6041" TargetMode="External" /><Relationship Id="rId19" Type="http://schemas.openxmlformats.org/officeDocument/2006/relationships/hyperlink" Target="http://www.bav-astro.de/sfs/BAVM_link.php?BAVMnr=220" TargetMode="External" /><Relationship Id="rId20" Type="http://schemas.openxmlformats.org/officeDocument/2006/relationships/hyperlink" Target="http://www.bav-astro.de/sfs/BAVM_link.php?BAVMnr=220" TargetMode="External" /><Relationship Id="rId21" Type="http://schemas.openxmlformats.org/officeDocument/2006/relationships/hyperlink" Target="http://www.konkoly.hu/cgi-bin/IBVS?6029" TargetMode="External" /><Relationship Id="rId22" Type="http://schemas.openxmlformats.org/officeDocument/2006/relationships/hyperlink" Target="http://www.konkoly.hu/cgi-bin/IBVS?6029" TargetMode="External" /><Relationship Id="rId23" Type="http://schemas.openxmlformats.org/officeDocument/2006/relationships/hyperlink" Target="http://www.konkoly.hu/cgi-bin/IBVS?6063" TargetMode="External" /><Relationship Id="rId24" Type="http://schemas.openxmlformats.org/officeDocument/2006/relationships/hyperlink" Target="http://www.konkoly.hu/cgi-bin/IBVS?6063" TargetMode="External" /><Relationship Id="rId25" Type="http://schemas.openxmlformats.org/officeDocument/2006/relationships/hyperlink" Target="http://www.konkoly.hu/cgi-bin/IBVS?60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19"/>
  <sheetViews>
    <sheetView tabSelected="1" zoomScalePageLayoutView="0" workbookViewId="0" topLeftCell="A1">
      <pane xSplit="14" ySplit="21" topLeftCell="O25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E7" sqref="E7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23</v>
      </c>
      <c r="B2" t="s">
        <v>38</v>
      </c>
      <c r="C2" s="3"/>
      <c r="D2" s="3"/>
    </row>
    <row r="3" ht="13.5" thickBot="1"/>
    <row r="4" spans="1:4" ht="14.25" thickBot="1" thickTop="1">
      <c r="A4" s="5" t="s">
        <v>36</v>
      </c>
      <c r="C4" s="8">
        <v>52500.0887</v>
      </c>
      <c r="D4" s="9">
        <v>0.2459487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3" ht="12.75">
      <c r="A7" t="s">
        <v>2</v>
      </c>
      <c r="C7">
        <f>C4</f>
        <v>52500.0887</v>
      </c>
    </row>
    <row r="8" spans="1:4" ht="12.75">
      <c r="A8" t="s">
        <v>3</v>
      </c>
      <c r="C8">
        <f>D4</f>
        <v>0.2459487</v>
      </c>
      <c r="D8" s="28"/>
    </row>
    <row r="9" spans="1:4" ht="12.75">
      <c r="A9" s="26" t="s">
        <v>33</v>
      </c>
      <c r="B9" s="27">
        <v>49</v>
      </c>
      <c r="C9" s="24" t="str">
        <f>"F"&amp;B9</f>
        <v>F49</v>
      </c>
      <c r="D9" s="25" t="str">
        <f>"G"&amp;B9</f>
        <v>G49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INTERCEPT(INDIRECT($D$9):G988,INDIRECT($C$9):F988)</f>
        <v>-0.008299555500279937</v>
      </c>
      <c r="D11" s="3"/>
      <c r="E11" s="12"/>
    </row>
    <row r="12" spans="1:5" ht="12.75">
      <c r="A12" s="12" t="s">
        <v>16</v>
      </c>
      <c r="B12" s="12"/>
      <c r="C12" s="23">
        <f ca="1">SLOPE(INDIRECT($D$9):G988,INDIRECT($C$9):F988)</f>
        <v>1.1773255829581122E-06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(C7+C11)+(C8+C12)*INT(MAX(F21:F3529))</f>
        <v>57850.474031785234</v>
      </c>
      <c r="E15" s="16" t="s">
        <v>49</v>
      </c>
      <c r="F15" s="13">
        <v>1</v>
      </c>
    </row>
    <row r="16" spans="1:6" ht="12.75">
      <c r="A16" s="18" t="s">
        <v>4</v>
      </c>
      <c r="B16" s="12"/>
      <c r="C16" s="19">
        <f>+C8+C12</f>
        <v>0.24594987732558296</v>
      </c>
      <c r="E16" s="16" t="s">
        <v>30</v>
      </c>
      <c r="F16" s="17">
        <f ca="1">NOW()+15018.5+$C$5/24</f>
        <v>59896.73314965278</v>
      </c>
    </row>
    <row r="17" spans="1:6" ht="13.5" thickBot="1">
      <c r="A17" s="16" t="s">
        <v>27</v>
      </c>
      <c r="B17" s="12"/>
      <c r="C17" s="12">
        <f>COUNT(C21:C2187)</f>
        <v>50</v>
      </c>
      <c r="E17" s="16" t="s">
        <v>50</v>
      </c>
      <c r="F17" s="17">
        <f>ROUND(2*(F16-$C$7)/$C$8,0)/2+F15</f>
        <v>30075</v>
      </c>
    </row>
    <row r="18" spans="1:6" ht="14.25" thickBot="1" thickTop="1">
      <c r="A18" s="18" t="s">
        <v>5</v>
      </c>
      <c r="B18" s="12"/>
      <c r="C18" s="21">
        <f>+C15</f>
        <v>57850.474031785234</v>
      </c>
      <c r="D18" s="22">
        <f>+C16</f>
        <v>0.24594987732558296</v>
      </c>
      <c r="E18" s="16" t="s">
        <v>31</v>
      </c>
      <c r="F18" s="25">
        <f>ROUND(2*(F16-$C$15)/$C$16,0)/2+F15</f>
        <v>8321</v>
      </c>
    </row>
    <row r="19" spans="5:6" ht="13.5" thickTop="1">
      <c r="E19" s="16" t="s">
        <v>32</v>
      </c>
      <c r="F19" s="20">
        <f>+$C$15+$C$16*F18-15018.5-$C$5/24</f>
        <v>44878.91879434475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66</v>
      </c>
      <c r="I20" s="7" t="s">
        <v>69</v>
      </c>
      <c r="J20" s="7" t="s">
        <v>63</v>
      </c>
      <c r="K20" s="7" t="s">
        <v>61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50" t="s">
        <v>175</v>
      </c>
    </row>
    <row r="21" spans="1:17" ht="12.75">
      <c r="A21" s="33" t="s">
        <v>41</v>
      </c>
      <c r="B21" s="31" t="s">
        <v>40</v>
      </c>
      <c r="C21" s="33">
        <v>51274.8914</v>
      </c>
      <c r="D21" s="33">
        <v>0.0005</v>
      </c>
      <c r="E21">
        <f aca="true" t="shared" si="0" ref="E21:E52">+(C21-C$7)/C$8</f>
        <v>-4981.51565753346</v>
      </c>
      <c r="F21">
        <f aca="true" t="shared" si="1" ref="F21:F52">ROUND(2*E21,0)/2</f>
        <v>-4981.5</v>
      </c>
      <c r="G21">
        <f aca="true" t="shared" si="2" ref="G21:G40">+C21-(C$7+F21*C$8)</f>
        <v>-0.0038509500009240583</v>
      </c>
      <c r="K21">
        <f aca="true" t="shared" si="3" ref="K21:K40">+G21</f>
        <v>-0.0038509500009240583</v>
      </c>
      <c r="Q21" s="2">
        <f aca="true" t="shared" si="4" ref="Q21:Q52">+C21-15018.5</f>
        <v>36256.3914</v>
      </c>
    </row>
    <row r="22" spans="1:17" ht="12.75">
      <c r="A22" s="34" t="s">
        <v>41</v>
      </c>
      <c r="B22" s="32" t="s">
        <v>34</v>
      </c>
      <c r="C22" s="34">
        <v>51337.7364</v>
      </c>
      <c r="D22" s="34">
        <v>0.0009</v>
      </c>
      <c r="E22">
        <f t="shared" si="0"/>
        <v>-4725.994892430815</v>
      </c>
      <c r="F22">
        <f t="shared" si="1"/>
        <v>-4726</v>
      </c>
      <c r="G22">
        <f t="shared" si="2"/>
        <v>0.0012562000047182664</v>
      </c>
      <c r="K22">
        <f t="shared" si="3"/>
        <v>0.0012562000047182664</v>
      </c>
      <c r="Q22" s="2">
        <f t="shared" si="4"/>
        <v>36319.2364</v>
      </c>
    </row>
    <row r="23" spans="1:17" ht="12.75">
      <c r="A23" s="34" t="s">
        <v>54</v>
      </c>
      <c r="B23" s="32" t="s">
        <v>34</v>
      </c>
      <c r="C23" s="34">
        <v>51968.47</v>
      </c>
      <c r="D23" s="34">
        <v>0.0023</v>
      </c>
      <c r="E23">
        <f t="shared" si="0"/>
        <v>-2161.502378341496</v>
      </c>
      <c r="F23">
        <f t="shared" si="1"/>
        <v>-2161.5</v>
      </c>
      <c r="G23">
        <f t="shared" si="2"/>
        <v>-0.0005849500012118369</v>
      </c>
      <c r="K23">
        <f t="shared" si="3"/>
        <v>-0.0005849500012118369</v>
      </c>
      <c r="Q23" s="2">
        <f t="shared" si="4"/>
        <v>36949.97</v>
      </c>
    </row>
    <row r="24" spans="1:17" ht="12.75">
      <c r="A24" s="34" t="s">
        <v>54</v>
      </c>
      <c r="B24" s="32" t="s">
        <v>40</v>
      </c>
      <c r="C24" s="34">
        <v>51968.59253</v>
      </c>
      <c r="D24" s="34">
        <v>0.0015</v>
      </c>
      <c r="E24">
        <f t="shared" si="0"/>
        <v>-2161.004185019065</v>
      </c>
      <c r="F24">
        <f t="shared" si="1"/>
        <v>-2161</v>
      </c>
      <c r="G24">
        <f t="shared" si="2"/>
        <v>-0.0010293000013916753</v>
      </c>
      <c r="K24">
        <f t="shared" si="3"/>
        <v>-0.0010293000013916753</v>
      </c>
      <c r="Q24" s="2">
        <f t="shared" si="4"/>
        <v>36950.09253</v>
      </c>
    </row>
    <row r="25" spans="1:17" ht="12.75">
      <c r="A25" s="34" t="s">
        <v>54</v>
      </c>
      <c r="B25" s="32" t="s">
        <v>34</v>
      </c>
      <c r="C25" s="34">
        <v>52001.4288</v>
      </c>
      <c r="D25" s="34">
        <v>0.0017</v>
      </c>
      <c r="E25">
        <f t="shared" si="0"/>
        <v>-2027.495571230906</v>
      </c>
      <c r="F25">
        <f t="shared" si="1"/>
        <v>-2027.5</v>
      </c>
      <c r="G25">
        <f t="shared" si="2"/>
        <v>0.0010892499994952232</v>
      </c>
      <c r="K25">
        <f t="shared" si="3"/>
        <v>0.0010892499994952232</v>
      </c>
      <c r="Q25" s="2">
        <f t="shared" si="4"/>
        <v>36982.9288</v>
      </c>
    </row>
    <row r="26" spans="1:17" ht="12.75">
      <c r="A26" s="34" t="s">
        <v>54</v>
      </c>
      <c r="B26" s="32" t="s">
        <v>40</v>
      </c>
      <c r="C26" s="34">
        <v>52001.55178</v>
      </c>
      <c r="D26" s="34">
        <v>0.002</v>
      </c>
      <c r="E26">
        <f t="shared" si="0"/>
        <v>-2026.9955482586354</v>
      </c>
      <c r="F26">
        <f t="shared" si="1"/>
        <v>-2027</v>
      </c>
      <c r="G26">
        <f t="shared" si="2"/>
        <v>0.001094899998861365</v>
      </c>
      <c r="K26">
        <f t="shared" si="3"/>
        <v>0.001094899998861365</v>
      </c>
      <c r="Q26" s="2">
        <f t="shared" si="4"/>
        <v>36983.05178</v>
      </c>
    </row>
    <row r="27" spans="1:17" ht="12.75">
      <c r="A27" s="34" t="s">
        <v>41</v>
      </c>
      <c r="B27" s="32" t="s">
        <v>34</v>
      </c>
      <c r="C27" s="34">
        <v>52337.5161</v>
      </c>
      <c r="D27" s="34">
        <v>0.0009</v>
      </c>
      <c r="E27">
        <f t="shared" si="0"/>
        <v>-661.0020707570299</v>
      </c>
      <c r="F27">
        <f t="shared" si="1"/>
        <v>-661</v>
      </c>
      <c r="G27">
        <f t="shared" si="2"/>
        <v>-0.000509299999976065</v>
      </c>
      <c r="K27">
        <f t="shared" si="3"/>
        <v>-0.000509299999976065</v>
      </c>
      <c r="Q27" s="2">
        <f t="shared" si="4"/>
        <v>37319.0161</v>
      </c>
    </row>
    <row r="28" spans="1:17" ht="12.75">
      <c r="A28" s="34" t="s">
        <v>41</v>
      </c>
      <c r="B28" s="32" t="s">
        <v>40</v>
      </c>
      <c r="C28" s="34">
        <v>52337.639</v>
      </c>
      <c r="D28" s="34">
        <v>0.003</v>
      </c>
      <c r="E28">
        <f t="shared" si="0"/>
        <v>-660.502373055834</v>
      </c>
      <c r="F28">
        <f t="shared" si="1"/>
        <v>-660.5</v>
      </c>
      <c r="G28">
        <f t="shared" si="2"/>
        <v>-0.0005836499985889532</v>
      </c>
      <c r="K28">
        <f t="shared" si="3"/>
        <v>-0.0005836499985889532</v>
      </c>
      <c r="Q28" s="2">
        <f t="shared" si="4"/>
        <v>37319.139</v>
      </c>
    </row>
    <row r="29" spans="1:17" ht="12.75">
      <c r="A29" s="30" t="s">
        <v>35</v>
      </c>
      <c r="B29" s="29" t="s">
        <v>34</v>
      </c>
      <c r="C29" s="30">
        <v>52500.0887</v>
      </c>
      <c r="D29" s="30"/>
      <c r="E29">
        <f t="shared" si="0"/>
        <v>0</v>
      </c>
      <c r="F29">
        <f t="shared" si="1"/>
        <v>0</v>
      </c>
      <c r="G29">
        <f t="shared" si="2"/>
        <v>0</v>
      </c>
      <c r="K29">
        <f t="shared" si="3"/>
        <v>0</v>
      </c>
      <c r="Q29" s="2">
        <f t="shared" si="4"/>
        <v>37481.5887</v>
      </c>
    </row>
    <row r="30" spans="1:17" ht="12.75">
      <c r="A30" s="30" t="s">
        <v>42</v>
      </c>
      <c r="B30" s="29" t="s">
        <v>34</v>
      </c>
      <c r="C30" s="30">
        <v>52601.6656</v>
      </c>
      <c r="D30" s="30">
        <v>0.001</v>
      </c>
      <c r="E30">
        <f t="shared" si="0"/>
        <v>413.00035332571395</v>
      </c>
      <c r="F30">
        <f t="shared" si="1"/>
        <v>413</v>
      </c>
      <c r="G30">
        <f t="shared" si="2"/>
        <v>8.689999958733097E-05</v>
      </c>
      <c r="K30">
        <f t="shared" si="3"/>
        <v>8.689999958733097E-05</v>
      </c>
      <c r="Q30" s="2">
        <f t="shared" si="4"/>
        <v>37583.1656</v>
      </c>
    </row>
    <row r="31" spans="1:17" ht="12.75">
      <c r="A31" s="30" t="s">
        <v>42</v>
      </c>
      <c r="B31" s="29" t="s">
        <v>34</v>
      </c>
      <c r="C31" s="30">
        <v>52601.6656</v>
      </c>
      <c r="D31" s="30">
        <v>0.001</v>
      </c>
      <c r="E31">
        <f t="shared" si="0"/>
        <v>413.00035332571395</v>
      </c>
      <c r="F31">
        <f t="shared" si="1"/>
        <v>413</v>
      </c>
      <c r="G31">
        <f t="shared" si="2"/>
        <v>8.689999958733097E-05</v>
      </c>
      <c r="K31">
        <f t="shared" si="3"/>
        <v>8.689999958733097E-05</v>
      </c>
      <c r="Q31" s="2">
        <f t="shared" si="4"/>
        <v>37583.1656</v>
      </c>
    </row>
    <row r="32" spans="1:17" ht="12.75">
      <c r="A32" s="30" t="s">
        <v>42</v>
      </c>
      <c r="B32" s="29" t="s">
        <v>34</v>
      </c>
      <c r="C32" s="30">
        <v>52691.4366</v>
      </c>
      <c r="D32" s="30">
        <v>0.0014</v>
      </c>
      <c r="E32">
        <f t="shared" si="0"/>
        <v>777.9992331734246</v>
      </c>
      <c r="F32">
        <f t="shared" si="1"/>
        <v>778</v>
      </c>
      <c r="G32">
        <f t="shared" si="2"/>
        <v>-0.0001886000027297996</v>
      </c>
      <c r="K32">
        <f t="shared" si="3"/>
        <v>-0.0001886000027297996</v>
      </c>
      <c r="Q32" s="2">
        <f t="shared" si="4"/>
        <v>37672.9366</v>
      </c>
    </row>
    <row r="33" spans="1:17" ht="12.75">
      <c r="A33" s="30" t="s">
        <v>42</v>
      </c>
      <c r="B33" s="29" t="s">
        <v>40</v>
      </c>
      <c r="C33" s="30">
        <v>52691.5599</v>
      </c>
      <c r="D33" s="30">
        <v>0.001</v>
      </c>
      <c r="E33">
        <f t="shared" si="0"/>
        <v>778.5005572300238</v>
      </c>
      <c r="F33">
        <f t="shared" si="1"/>
        <v>778.5</v>
      </c>
      <c r="G33">
        <f t="shared" si="2"/>
        <v>0.00013705000310437754</v>
      </c>
      <c r="K33">
        <f t="shared" si="3"/>
        <v>0.00013705000310437754</v>
      </c>
      <c r="Q33" s="2">
        <f t="shared" si="4"/>
        <v>37673.0599</v>
      </c>
    </row>
    <row r="34" spans="1:17" ht="12.75">
      <c r="A34" s="30" t="s">
        <v>42</v>
      </c>
      <c r="B34" s="29" t="s">
        <v>34</v>
      </c>
      <c r="C34" s="30">
        <v>52691.6833</v>
      </c>
      <c r="D34" s="30">
        <v>0.0004</v>
      </c>
      <c r="E34">
        <f t="shared" si="0"/>
        <v>779.0022878754664</v>
      </c>
      <c r="F34">
        <f t="shared" si="1"/>
        <v>779</v>
      </c>
      <c r="G34">
        <f t="shared" si="2"/>
        <v>0.0005626999991363846</v>
      </c>
      <c r="K34">
        <f t="shared" si="3"/>
        <v>0.0005626999991363846</v>
      </c>
      <c r="Q34" s="2">
        <f t="shared" si="4"/>
        <v>37673.1833</v>
      </c>
    </row>
    <row r="35" spans="1:17" ht="12.75">
      <c r="A35" s="30" t="s">
        <v>42</v>
      </c>
      <c r="B35" s="29" t="s">
        <v>34</v>
      </c>
      <c r="C35" s="30">
        <v>52694.3889</v>
      </c>
      <c r="D35" s="30">
        <v>0.0007</v>
      </c>
      <c r="E35">
        <f t="shared" si="0"/>
        <v>790.0029559009577</v>
      </c>
      <c r="F35">
        <f t="shared" si="1"/>
        <v>790</v>
      </c>
      <c r="G35">
        <f t="shared" si="2"/>
        <v>0.0007269999987329356</v>
      </c>
      <c r="K35">
        <f t="shared" si="3"/>
        <v>0.0007269999987329356</v>
      </c>
      <c r="Q35" s="2">
        <f t="shared" si="4"/>
        <v>37675.8889</v>
      </c>
    </row>
    <row r="36" spans="1:17" ht="12.75">
      <c r="A36" s="30" t="s">
        <v>42</v>
      </c>
      <c r="B36" s="29" t="s">
        <v>40</v>
      </c>
      <c r="C36" s="30">
        <v>52694.5117</v>
      </c>
      <c r="D36" s="30">
        <v>0.0008</v>
      </c>
      <c r="E36">
        <f t="shared" si="0"/>
        <v>790.5022470133101</v>
      </c>
      <c r="F36">
        <f t="shared" si="1"/>
        <v>790.5</v>
      </c>
      <c r="G36">
        <f t="shared" si="2"/>
        <v>0.00055265000264626</v>
      </c>
      <c r="K36">
        <f t="shared" si="3"/>
        <v>0.00055265000264626</v>
      </c>
      <c r="Q36" s="2">
        <f t="shared" si="4"/>
        <v>37676.0117</v>
      </c>
    </row>
    <row r="37" spans="1:17" ht="12.75">
      <c r="A37" s="30" t="s">
        <v>42</v>
      </c>
      <c r="B37" s="29" t="s">
        <v>34</v>
      </c>
      <c r="C37" s="30">
        <v>52694.6339</v>
      </c>
      <c r="D37" s="30">
        <v>0.0008</v>
      </c>
      <c r="E37">
        <f t="shared" si="0"/>
        <v>790.9990985925133</v>
      </c>
      <c r="F37">
        <f t="shared" si="1"/>
        <v>791</v>
      </c>
      <c r="G37">
        <f t="shared" si="2"/>
        <v>-0.00022170000011101365</v>
      </c>
      <c r="K37">
        <f t="shared" si="3"/>
        <v>-0.00022170000011101365</v>
      </c>
      <c r="Q37" s="2">
        <f t="shared" si="4"/>
        <v>37676.1339</v>
      </c>
    </row>
    <row r="38" spans="1:17" ht="12.75">
      <c r="A38" s="30" t="s">
        <v>42</v>
      </c>
      <c r="B38" s="29" t="s">
        <v>40</v>
      </c>
      <c r="C38" s="30">
        <v>52721.3208</v>
      </c>
      <c r="D38" s="30">
        <v>0.0012</v>
      </c>
      <c r="E38">
        <f t="shared" si="0"/>
        <v>899.5050593884054</v>
      </c>
      <c r="F38">
        <f t="shared" si="1"/>
        <v>899.5</v>
      </c>
      <c r="G38">
        <f t="shared" si="2"/>
        <v>0.0012443500017980114</v>
      </c>
      <c r="K38">
        <f t="shared" si="3"/>
        <v>0.0012443500017980114</v>
      </c>
      <c r="Q38" s="2">
        <f t="shared" si="4"/>
        <v>37702.8208</v>
      </c>
    </row>
    <row r="39" spans="1:17" ht="12.75">
      <c r="A39" s="30" t="s">
        <v>42</v>
      </c>
      <c r="B39" s="29" t="s">
        <v>34</v>
      </c>
      <c r="C39" s="30">
        <v>52723.4119</v>
      </c>
      <c r="D39" s="30">
        <v>0.0009</v>
      </c>
      <c r="E39">
        <f t="shared" si="0"/>
        <v>908.0072389079467</v>
      </c>
      <c r="F39">
        <f t="shared" si="1"/>
        <v>908</v>
      </c>
      <c r="G39">
        <f t="shared" si="2"/>
        <v>0.0017804000017349608</v>
      </c>
      <c r="K39">
        <f t="shared" si="3"/>
        <v>0.0017804000017349608</v>
      </c>
      <c r="Q39" s="2">
        <f t="shared" si="4"/>
        <v>37704.9119</v>
      </c>
    </row>
    <row r="40" spans="1:17" ht="12.75">
      <c r="A40" s="30" t="s">
        <v>42</v>
      </c>
      <c r="B40" s="29" t="s">
        <v>40</v>
      </c>
      <c r="C40" s="30">
        <v>52723.5335</v>
      </c>
      <c r="D40" s="30">
        <v>0.0011</v>
      </c>
      <c r="E40">
        <f t="shared" si="0"/>
        <v>908.5016509540302</v>
      </c>
      <c r="F40">
        <f t="shared" si="1"/>
        <v>908.5</v>
      </c>
      <c r="G40">
        <f t="shared" si="2"/>
        <v>0.0004060499995830469</v>
      </c>
      <c r="K40">
        <f t="shared" si="3"/>
        <v>0.0004060499995830469</v>
      </c>
      <c r="Q40" s="2">
        <f t="shared" si="4"/>
        <v>37705.0335</v>
      </c>
    </row>
    <row r="41" spans="1:17" ht="12.75">
      <c r="A41" s="34" t="s">
        <v>43</v>
      </c>
      <c r="B41" s="32" t="s">
        <v>40</v>
      </c>
      <c r="C41" s="34">
        <v>53068.3536</v>
      </c>
      <c r="D41" s="35">
        <v>0.0011</v>
      </c>
      <c r="E41">
        <f t="shared" si="0"/>
        <v>2310.5017428431293</v>
      </c>
      <c r="F41">
        <f t="shared" si="1"/>
        <v>2310.5</v>
      </c>
      <c r="G41">
        <f aca="true" t="shared" si="5" ref="G41:G49">+C41-(C$7+F41*C$8)</f>
        <v>0.0004286500043235719</v>
      </c>
      <c r="K41">
        <f>+G41</f>
        <v>0.0004286500043235719</v>
      </c>
      <c r="Q41" s="2">
        <f t="shared" si="4"/>
        <v>38049.8536</v>
      </c>
    </row>
    <row r="42" spans="1:17" ht="12.75">
      <c r="A42" s="34" t="s">
        <v>43</v>
      </c>
      <c r="B42" s="32" t="s">
        <v>34</v>
      </c>
      <c r="C42" s="34">
        <v>53068.478</v>
      </c>
      <c r="D42" s="35">
        <v>0.002</v>
      </c>
      <c r="E42">
        <f t="shared" si="0"/>
        <v>2311.0075393771244</v>
      </c>
      <c r="F42">
        <f t="shared" si="1"/>
        <v>2311</v>
      </c>
      <c r="G42">
        <f t="shared" si="5"/>
        <v>0.0018543000041972846</v>
      </c>
      <c r="K42">
        <f>+G42</f>
        <v>0.0018543000041972846</v>
      </c>
      <c r="Q42" s="2">
        <f t="shared" si="4"/>
        <v>38049.978</v>
      </c>
    </row>
    <row r="43" spans="1:17" ht="12.75">
      <c r="A43" s="30" t="s">
        <v>44</v>
      </c>
      <c r="B43" s="29" t="s">
        <v>40</v>
      </c>
      <c r="C43" s="30">
        <v>53464.3316</v>
      </c>
      <c r="D43" s="33" t="s">
        <v>45</v>
      </c>
      <c r="E43">
        <f t="shared" si="0"/>
        <v>3920.5041539150134</v>
      </c>
      <c r="F43">
        <f t="shared" si="1"/>
        <v>3920.5</v>
      </c>
      <c r="G43">
        <f t="shared" si="5"/>
        <v>0.0010216499940725043</v>
      </c>
      <c r="K43">
        <f>+G43</f>
        <v>0.0010216499940725043</v>
      </c>
      <c r="Q43" s="2">
        <f t="shared" si="4"/>
        <v>38445.8316</v>
      </c>
    </row>
    <row r="44" spans="1:17" ht="12.75">
      <c r="A44" s="30" t="s">
        <v>46</v>
      </c>
      <c r="B44" s="29" t="s">
        <v>40</v>
      </c>
      <c r="C44" s="30">
        <v>53809.398</v>
      </c>
      <c r="D44" s="30">
        <v>0.003</v>
      </c>
      <c r="E44">
        <f t="shared" si="0"/>
        <v>5323.5056741507515</v>
      </c>
      <c r="F44">
        <f t="shared" si="1"/>
        <v>5323.5</v>
      </c>
      <c r="G44">
        <f t="shared" si="5"/>
        <v>0.0013955500035081059</v>
      </c>
      <c r="J44">
        <f>+G44</f>
        <v>0.0013955500035081059</v>
      </c>
      <c r="Q44" s="2">
        <f t="shared" si="4"/>
        <v>38790.898</v>
      </c>
    </row>
    <row r="45" spans="1:17" ht="12.75">
      <c r="A45" s="34" t="s">
        <v>39</v>
      </c>
      <c r="B45" s="29" t="s">
        <v>34</v>
      </c>
      <c r="C45" s="30">
        <v>54172.2952</v>
      </c>
      <c r="D45" s="30">
        <v>0.0003</v>
      </c>
      <c r="E45">
        <f t="shared" si="0"/>
        <v>6799.005239710558</v>
      </c>
      <c r="F45">
        <f t="shared" si="1"/>
        <v>6799</v>
      </c>
      <c r="G45">
        <f t="shared" si="5"/>
        <v>0.0012886999975307845</v>
      </c>
      <c r="K45">
        <f>+G45</f>
        <v>0.0012886999975307845</v>
      </c>
      <c r="Q45" s="2">
        <f t="shared" si="4"/>
        <v>39153.7952</v>
      </c>
    </row>
    <row r="46" spans="1:17" ht="12.75">
      <c r="A46" s="34" t="s">
        <v>39</v>
      </c>
      <c r="B46" s="29" t="s">
        <v>40</v>
      </c>
      <c r="C46" s="30">
        <v>54172.4138</v>
      </c>
      <c r="D46" s="30">
        <v>0.0015</v>
      </c>
      <c r="E46">
        <f t="shared" si="0"/>
        <v>6799.487454091044</v>
      </c>
      <c r="F46">
        <f t="shared" si="1"/>
        <v>6799.5</v>
      </c>
      <c r="G46">
        <f t="shared" si="5"/>
        <v>-0.003085650001594331</v>
      </c>
      <c r="K46">
        <f>+G46</f>
        <v>-0.003085650001594331</v>
      </c>
      <c r="Q46" s="2">
        <f t="shared" si="4"/>
        <v>39153.9138</v>
      </c>
    </row>
    <row r="47" spans="1:17" ht="12.75">
      <c r="A47" s="30" t="s">
        <v>47</v>
      </c>
      <c r="B47" s="29" t="s">
        <v>40</v>
      </c>
      <c r="C47" s="30">
        <v>54888.8673</v>
      </c>
      <c r="D47" s="30">
        <v>0.0002</v>
      </c>
      <c r="E47">
        <f t="shared" si="0"/>
        <v>9712.507526976146</v>
      </c>
      <c r="F47">
        <f t="shared" si="1"/>
        <v>9712.5</v>
      </c>
      <c r="G47">
        <f t="shared" si="5"/>
        <v>0.001851249995524995</v>
      </c>
      <c r="K47">
        <f>+G47</f>
        <v>0.001851249995524995</v>
      </c>
      <c r="Q47" s="2">
        <f t="shared" si="4"/>
        <v>39870.3673</v>
      </c>
    </row>
    <row r="48" spans="1:17" ht="12.75">
      <c r="A48" s="30" t="s">
        <v>47</v>
      </c>
      <c r="B48" s="29" t="s">
        <v>34</v>
      </c>
      <c r="C48" s="30">
        <v>54888.9895</v>
      </c>
      <c r="D48" s="30">
        <v>0.0015</v>
      </c>
      <c r="E48">
        <f t="shared" si="0"/>
        <v>9713.004378555379</v>
      </c>
      <c r="F48">
        <f t="shared" si="1"/>
        <v>9713</v>
      </c>
      <c r="G48">
        <f t="shared" si="5"/>
        <v>0.001076900000043679</v>
      </c>
      <c r="K48">
        <f>+G48</f>
        <v>0.001076900000043679</v>
      </c>
      <c r="O48">
        <f aca="true" t="shared" si="6" ref="O48:O69">+C$11+C$12*$F48</f>
        <v>0.0031358078869922063</v>
      </c>
      <c r="Q48" s="2">
        <f t="shared" si="4"/>
        <v>39870.4895</v>
      </c>
    </row>
    <row r="49" spans="1:17" ht="12.75">
      <c r="A49" s="30" t="s">
        <v>47</v>
      </c>
      <c r="B49" s="29" t="s">
        <v>40</v>
      </c>
      <c r="C49" s="30">
        <v>54972.4908</v>
      </c>
      <c r="D49" s="30">
        <v>0.0004</v>
      </c>
      <c r="E49">
        <f t="shared" si="0"/>
        <v>10052.511357043153</v>
      </c>
      <c r="F49">
        <f t="shared" si="1"/>
        <v>10052.5</v>
      </c>
      <c r="G49">
        <f t="shared" si="5"/>
        <v>0.0027932500015594997</v>
      </c>
      <c r="K49">
        <f>+G49</f>
        <v>0.0027932500015594997</v>
      </c>
      <c r="O49">
        <f t="shared" si="6"/>
        <v>0.0035355099224064854</v>
      </c>
      <c r="Q49" s="2">
        <f t="shared" si="4"/>
        <v>39953.9908</v>
      </c>
    </row>
    <row r="50" spans="1:21" ht="12.75">
      <c r="A50" s="36" t="s">
        <v>48</v>
      </c>
      <c r="B50" s="31" t="s">
        <v>34</v>
      </c>
      <c r="C50" s="33">
        <v>55297.2885</v>
      </c>
      <c r="D50" s="33">
        <v>0.0001</v>
      </c>
      <c r="E50">
        <f t="shared" si="0"/>
        <v>11373.10260229065</v>
      </c>
      <c r="F50">
        <f t="shared" si="1"/>
        <v>11373</v>
      </c>
      <c r="O50">
        <f t="shared" si="6"/>
        <v>0.0050901683547026726</v>
      </c>
      <c r="Q50" s="2">
        <f t="shared" si="4"/>
        <v>40278.7885</v>
      </c>
      <c r="U50" s="25">
        <v>0.02523490000021411</v>
      </c>
    </row>
    <row r="51" spans="1:17" ht="12.75">
      <c r="A51" s="34" t="s">
        <v>51</v>
      </c>
      <c r="B51" s="32" t="s">
        <v>40</v>
      </c>
      <c r="C51" s="34">
        <v>55309.4431</v>
      </c>
      <c r="D51" s="34">
        <v>0.0012</v>
      </c>
      <c r="E51">
        <f t="shared" si="0"/>
        <v>11422.521851101455</v>
      </c>
      <c r="F51">
        <f t="shared" si="1"/>
        <v>11422.5</v>
      </c>
      <c r="G51">
        <f aca="true" t="shared" si="7" ref="G51:G69">+C51-(C$7+F51*C$8)</f>
        <v>0.005374249994929414</v>
      </c>
      <c r="J51">
        <f>+G51</f>
        <v>0.005374249994929414</v>
      </c>
      <c r="O51">
        <f t="shared" si="6"/>
        <v>0.005148445971059099</v>
      </c>
      <c r="Q51" s="2">
        <f t="shared" si="4"/>
        <v>40290.9431</v>
      </c>
    </row>
    <row r="52" spans="1:17" ht="12.75">
      <c r="A52" s="34" t="s">
        <v>51</v>
      </c>
      <c r="B52" s="32" t="s">
        <v>34</v>
      </c>
      <c r="C52" s="34">
        <v>55309.5657</v>
      </c>
      <c r="D52" s="34">
        <v>0.0008</v>
      </c>
      <c r="E52">
        <f t="shared" si="0"/>
        <v>11423.020329036091</v>
      </c>
      <c r="F52">
        <f t="shared" si="1"/>
        <v>11423</v>
      </c>
      <c r="G52">
        <f t="shared" si="7"/>
        <v>0.004999899996619206</v>
      </c>
      <c r="J52">
        <f>+G52</f>
        <v>0.004999899996619206</v>
      </c>
      <c r="O52">
        <f t="shared" si="6"/>
        <v>0.005149034633850578</v>
      </c>
      <c r="Q52" s="2">
        <f t="shared" si="4"/>
        <v>40291.0657</v>
      </c>
    </row>
    <row r="53" spans="1:17" ht="12.75">
      <c r="A53" s="34" t="s">
        <v>52</v>
      </c>
      <c r="B53" s="32" t="s">
        <v>34</v>
      </c>
      <c r="C53" s="34">
        <v>55622.9055</v>
      </c>
      <c r="D53" s="34">
        <v>0.0002</v>
      </c>
      <c r="E53">
        <f aca="true" t="shared" si="8" ref="E53:E69">+(C53-C$7)/C$8</f>
        <v>12697.025030016424</v>
      </c>
      <c r="F53">
        <f aca="true" t="shared" si="9" ref="F53:F70">ROUND(2*E53,0)/2</f>
        <v>12697</v>
      </c>
      <c r="G53">
        <f t="shared" si="7"/>
        <v>0.006156100003863685</v>
      </c>
      <c r="K53">
        <f>+G53</f>
        <v>0.006156100003863685</v>
      </c>
      <c r="O53">
        <f t="shared" si="6"/>
        <v>0.0066489474265392125</v>
      </c>
      <c r="Q53" s="2">
        <f aca="true" t="shared" si="10" ref="Q53:Q69">+C53-15018.5</f>
        <v>40604.4055</v>
      </c>
    </row>
    <row r="54" spans="1:17" ht="12.75">
      <c r="A54" s="34" t="s">
        <v>53</v>
      </c>
      <c r="B54" s="32" t="s">
        <v>34</v>
      </c>
      <c r="C54" s="34">
        <v>55669.3894</v>
      </c>
      <c r="D54" s="34">
        <v>0.0008</v>
      </c>
      <c r="E54">
        <f t="shared" si="8"/>
        <v>12886.023386177687</v>
      </c>
      <c r="F54">
        <f t="shared" si="9"/>
        <v>12886</v>
      </c>
      <c r="G54">
        <f t="shared" si="7"/>
        <v>0.005751800003054086</v>
      </c>
      <c r="J54">
        <f>+G54</f>
        <v>0.005751800003054086</v>
      </c>
      <c r="O54">
        <f t="shared" si="6"/>
        <v>0.006871461961718296</v>
      </c>
      <c r="Q54" s="2">
        <f t="shared" si="10"/>
        <v>40650.8894</v>
      </c>
    </row>
    <row r="55" spans="1:17" ht="12.75">
      <c r="A55" s="34" t="s">
        <v>53</v>
      </c>
      <c r="B55" s="32" t="s">
        <v>40</v>
      </c>
      <c r="C55" s="34">
        <v>55669.5145</v>
      </c>
      <c r="D55" s="34">
        <v>0.0018</v>
      </c>
      <c r="E55">
        <f t="shared" si="8"/>
        <v>12886.532028833644</v>
      </c>
      <c r="F55">
        <f t="shared" si="9"/>
        <v>12886.5</v>
      </c>
      <c r="G55">
        <f t="shared" si="7"/>
        <v>0.007877449999796227</v>
      </c>
      <c r="J55">
        <f>+G55</f>
        <v>0.007877449999796227</v>
      </c>
      <c r="O55">
        <f t="shared" si="6"/>
        <v>0.006872050624509775</v>
      </c>
      <c r="Q55" s="2">
        <f t="shared" si="10"/>
        <v>40651.0145</v>
      </c>
    </row>
    <row r="56" spans="1:17" ht="12.75">
      <c r="A56" s="34" t="s">
        <v>52</v>
      </c>
      <c r="B56" s="32" t="s">
        <v>40</v>
      </c>
      <c r="C56" s="34">
        <v>55684.7634</v>
      </c>
      <c r="D56" s="34">
        <v>0.0003</v>
      </c>
      <c r="E56">
        <f t="shared" si="8"/>
        <v>12948.532356544285</v>
      </c>
      <c r="F56">
        <f t="shared" si="9"/>
        <v>12948.5</v>
      </c>
      <c r="G56">
        <f t="shared" si="7"/>
        <v>0.007958050002343953</v>
      </c>
      <c r="K56">
        <f>+G56</f>
        <v>0.007958050002343953</v>
      </c>
      <c r="O56">
        <f t="shared" si="6"/>
        <v>0.006945044810653179</v>
      </c>
      <c r="Q56" s="2">
        <f t="shared" si="10"/>
        <v>40666.2634</v>
      </c>
    </row>
    <row r="57" spans="1:17" ht="12.75">
      <c r="A57" s="34" t="s">
        <v>52</v>
      </c>
      <c r="B57" s="32" t="s">
        <v>34</v>
      </c>
      <c r="C57" s="34">
        <v>55684.8839</v>
      </c>
      <c r="D57" s="34">
        <v>0.0004</v>
      </c>
      <c r="E57">
        <f t="shared" si="8"/>
        <v>12949.022296112973</v>
      </c>
      <c r="F57">
        <f t="shared" si="9"/>
        <v>12949</v>
      </c>
      <c r="G57">
        <f t="shared" si="7"/>
        <v>0.005483699998876546</v>
      </c>
      <c r="K57">
        <f>+G57</f>
        <v>0.005483699998876546</v>
      </c>
      <c r="O57">
        <f t="shared" si="6"/>
        <v>0.006945633473444658</v>
      </c>
      <c r="Q57" s="2">
        <f t="shared" si="10"/>
        <v>40666.3839</v>
      </c>
    </row>
    <row r="58" spans="1:17" ht="12.75">
      <c r="A58" s="30" t="s">
        <v>56</v>
      </c>
      <c r="B58" s="29" t="s">
        <v>34</v>
      </c>
      <c r="C58" s="30">
        <v>55691.5255</v>
      </c>
      <c r="D58" s="30">
        <v>0.0004</v>
      </c>
      <c r="E58">
        <f t="shared" si="8"/>
        <v>12976.02630141978</v>
      </c>
      <c r="F58">
        <f t="shared" si="9"/>
        <v>12976</v>
      </c>
      <c r="G58">
        <f t="shared" si="7"/>
        <v>0.006468800005677622</v>
      </c>
      <c r="K58">
        <f>+G58</f>
        <v>0.006468800005677622</v>
      </c>
      <c r="O58">
        <f t="shared" si="6"/>
        <v>0.006977421264184526</v>
      </c>
      <c r="Q58" s="2">
        <f t="shared" si="10"/>
        <v>40673.0255</v>
      </c>
    </row>
    <row r="59" spans="1:17" ht="12.75">
      <c r="A59" s="34" t="s">
        <v>53</v>
      </c>
      <c r="B59" s="32" t="s">
        <v>34</v>
      </c>
      <c r="C59" s="34">
        <v>55700.3803</v>
      </c>
      <c r="D59" s="34">
        <v>0.0013</v>
      </c>
      <c r="E59">
        <f t="shared" si="8"/>
        <v>13012.02893123646</v>
      </c>
      <c r="F59">
        <f t="shared" si="9"/>
        <v>13012</v>
      </c>
      <c r="G59">
        <f t="shared" si="7"/>
        <v>0.007115599997632671</v>
      </c>
      <c r="J59">
        <f>+G59</f>
        <v>0.007115599997632671</v>
      </c>
      <c r="O59">
        <f t="shared" si="6"/>
        <v>0.007019804985171019</v>
      </c>
      <c r="Q59" s="2">
        <f t="shared" si="10"/>
        <v>40681.8803</v>
      </c>
    </row>
    <row r="60" spans="1:17" ht="12.75">
      <c r="A60" s="34" t="s">
        <v>53</v>
      </c>
      <c r="B60" s="32" t="s">
        <v>40</v>
      </c>
      <c r="C60" s="34">
        <v>55700.5035</v>
      </c>
      <c r="D60" s="34">
        <v>0.0003</v>
      </c>
      <c r="E60">
        <f t="shared" si="8"/>
        <v>13012.529848704216</v>
      </c>
      <c r="F60">
        <f t="shared" si="9"/>
        <v>13012.5</v>
      </c>
      <c r="G60">
        <f t="shared" si="7"/>
        <v>0.007341249998717103</v>
      </c>
      <c r="J60">
        <f>+G60</f>
        <v>0.007341249998717103</v>
      </c>
      <c r="O60">
        <f t="shared" si="6"/>
        <v>0.007020393647962498</v>
      </c>
      <c r="Q60" s="2">
        <f t="shared" si="10"/>
        <v>40682.0035</v>
      </c>
    </row>
    <row r="61" spans="1:17" ht="12.75">
      <c r="A61" s="51" t="s">
        <v>55</v>
      </c>
      <c r="B61" s="52" t="s">
        <v>34</v>
      </c>
      <c r="C61" s="51">
        <v>55987.8966</v>
      </c>
      <c r="D61" s="51">
        <v>0.0002</v>
      </c>
      <c r="E61">
        <f t="shared" si="8"/>
        <v>14181.038159583684</v>
      </c>
      <c r="F61">
        <f t="shared" si="9"/>
        <v>14181</v>
      </c>
      <c r="G61">
        <f t="shared" si="7"/>
        <v>0.00938529999984894</v>
      </c>
      <c r="K61">
        <f aca="true" t="shared" si="11" ref="K61:K69">+G61</f>
        <v>0.00938529999984894</v>
      </c>
      <c r="O61">
        <f t="shared" si="6"/>
        <v>0.008396098591649052</v>
      </c>
      <c r="Q61" s="2">
        <f t="shared" si="10"/>
        <v>40969.3966</v>
      </c>
    </row>
    <row r="62" spans="1:17" ht="12.75">
      <c r="A62" s="51" t="s">
        <v>55</v>
      </c>
      <c r="B62" s="52" t="s">
        <v>40</v>
      </c>
      <c r="C62" s="51">
        <v>56049.7524</v>
      </c>
      <c r="D62" s="51">
        <v>0.0003</v>
      </c>
      <c r="E62">
        <f t="shared" si="8"/>
        <v>14432.536947745597</v>
      </c>
      <c r="F62">
        <f t="shared" si="9"/>
        <v>14432.5</v>
      </c>
      <c r="G62">
        <f t="shared" si="7"/>
        <v>0.009087250000447966</v>
      </c>
      <c r="K62">
        <f t="shared" si="11"/>
        <v>0.009087250000447966</v>
      </c>
      <c r="O62">
        <f t="shared" si="6"/>
        <v>0.008692195975763017</v>
      </c>
      <c r="Q62" s="2">
        <f t="shared" si="10"/>
        <v>41031.2524</v>
      </c>
    </row>
    <row r="63" spans="1:17" ht="12.75">
      <c r="A63" s="53" t="s">
        <v>57</v>
      </c>
      <c r="B63" s="52" t="s">
        <v>58</v>
      </c>
      <c r="C63" s="51">
        <v>56447.6983</v>
      </c>
      <c r="D63" s="51">
        <v>0.00022</v>
      </c>
      <c r="E63">
        <f t="shared" si="8"/>
        <v>16050.540620869297</v>
      </c>
      <c r="F63">
        <f t="shared" si="9"/>
        <v>16050.5</v>
      </c>
      <c r="G63">
        <f t="shared" si="7"/>
        <v>0.009990649996325374</v>
      </c>
      <c r="K63">
        <f t="shared" si="11"/>
        <v>0.009990649996325374</v>
      </c>
      <c r="O63">
        <f t="shared" si="6"/>
        <v>0.010597108768989243</v>
      </c>
      <c r="Q63" s="2">
        <f t="shared" si="10"/>
        <v>41429.1983</v>
      </c>
    </row>
    <row r="64" spans="1:17" ht="12.75">
      <c r="A64" s="53" t="s">
        <v>57</v>
      </c>
      <c r="B64" s="52" t="s">
        <v>58</v>
      </c>
      <c r="C64" s="51">
        <v>56447.69887</v>
      </c>
      <c r="D64" s="51">
        <v>0.00013</v>
      </c>
      <c r="E64">
        <f t="shared" si="8"/>
        <v>16050.542938425777</v>
      </c>
      <c r="F64">
        <f t="shared" si="9"/>
        <v>16050.5</v>
      </c>
      <c r="G64">
        <f t="shared" si="7"/>
        <v>0.010560650000115857</v>
      </c>
      <c r="K64">
        <f t="shared" si="11"/>
        <v>0.010560650000115857</v>
      </c>
      <c r="O64">
        <f t="shared" si="6"/>
        <v>0.010597108768989243</v>
      </c>
      <c r="Q64" s="2">
        <f t="shared" si="10"/>
        <v>41429.19887</v>
      </c>
    </row>
    <row r="65" spans="1:17" ht="12.75">
      <c r="A65" s="53" t="s">
        <v>57</v>
      </c>
      <c r="B65" s="52" t="s">
        <v>58</v>
      </c>
      <c r="C65" s="51">
        <v>56447.70093</v>
      </c>
      <c r="D65" s="51">
        <v>0.0002</v>
      </c>
      <c r="E65">
        <f t="shared" si="8"/>
        <v>16050.551314156159</v>
      </c>
      <c r="F65">
        <f t="shared" si="9"/>
        <v>16050.5</v>
      </c>
      <c r="G65">
        <f t="shared" si="7"/>
        <v>0.012620649999007583</v>
      </c>
      <c r="K65">
        <f t="shared" si="11"/>
        <v>0.012620649999007583</v>
      </c>
      <c r="O65">
        <f t="shared" si="6"/>
        <v>0.010597108768989243</v>
      </c>
      <c r="Q65" s="2">
        <f t="shared" si="10"/>
        <v>41429.20093</v>
      </c>
    </row>
    <row r="66" spans="1:17" ht="12.75">
      <c r="A66" s="57" t="s">
        <v>0</v>
      </c>
      <c r="B66" s="58" t="s">
        <v>34</v>
      </c>
      <c r="C66" s="58">
        <v>57842.3567</v>
      </c>
      <c r="D66" s="58">
        <v>0.0008</v>
      </c>
      <c r="E66">
        <f t="shared" si="8"/>
        <v>21721.066222346355</v>
      </c>
      <c r="F66">
        <f t="shared" si="9"/>
        <v>21721</v>
      </c>
      <c r="G66">
        <f t="shared" si="7"/>
        <v>0.016287299993564375</v>
      </c>
      <c r="K66">
        <f t="shared" si="11"/>
        <v>0.016287299993564375</v>
      </c>
      <c r="O66">
        <f t="shared" si="6"/>
        <v>0.017273133487153217</v>
      </c>
      <c r="Q66" s="2">
        <f t="shared" si="10"/>
        <v>42823.8567</v>
      </c>
    </row>
    <row r="67" spans="1:17" ht="12.75">
      <c r="A67" s="57" t="s">
        <v>0</v>
      </c>
      <c r="B67" s="58" t="s">
        <v>34</v>
      </c>
      <c r="C67" s="58">
        <v>57842.48</v>
      </c>
      <c r="D67" s="58">
        <v>0.0016</v>
      </c>
      <c r="E67">
        <f t="shared" si="8"/>
        <v>21721.56754640298</v>
      </c>
      <c r="F67">
        <f t="shared" si="9"/>
        <v>21721.5</v>
      </c>
      <c r="G67">
        <f t="shared" si="7"/>
        <v>0.01661295000667451</v>
      </c>
      <c r="K67">
        <f t="shared" si="11"/>
        <v>0.01661295000667451</v>
      </c>
      <c r="O67">
        <f t="shared" si="6"/>
        <v>0.017273722149944694</v>
      </c>
      <c r="Q67" s="2">
        <f t="shared" si="10"/>
        <v>42823.98</v>
      </c>
    </row>
    <row r="68" spans="1:17" ht="12.75">
      <c r="A68" s="57" t="s">
        <v>0</v>
      </c>
      <c r="B68" s="58" t="s">
        <v>34</v>
      </c>
      <c r="C68" s="58">
        <v>57842.6027</v>
      </c>
      <c r="D68" s="58">
        <v>0.001</v>
      </c>
      <c r="E68">
        <f t="shared" si="8"/>
        <v>21722.06643092646</v>
      </c>
      <c r="F68">
        <f t="shared" si="9"/>
        <v>21722</v>
      </c>
      <c r="G68">
        <f t="shared" si="7"/>
        <v>0.01633860000583809</v>
      </c>
      <c r="K68">
        <f t="shared" si="11"/>
        <v>0.01633860000583809</v>
      </c>
      <c r="O68">
        <f t="shared" si="6"/>
        <v>0.017274310812736178</v>
      </c>
      <c r="Q68" s="2">
        <f t="shared" si="10"/>
        <v>42824.1027</v>
      </c>
    </row>
    <row r="69" spans="1:17" ht="12.75">
      <c r="A69" s="54" t="s">
        <v>176</v>
      </c>
      <c r="B69" s="55" t="s">
        <v>34</v>
      </c>
      <c r="C69" s="56">
        <v>57850.4758</v>
      </c>
      <c r="D69" s="56">
        <v>0.0001</v>
      </c>
      <c r="E69">
        <f t="shared" si="8"/>
        <v>21754.077577966462</v>
      </c>
      <c r="F69">
        <f t="shared" si="9"/>
        <v>21754</v>
      </c>
      <c r="G69">
        <f t="shared" si="7"/>
        <v>0.01908019999973476</v>
      </c>
      <c r="K69">
        <f t="shared" si="11"/>
        <v>0.01908019999973476</v>
      </c>
      <c r="O69">
        <f t="shared" si="6"/>
        <v>0.017311985231390832</v>
      </c>
      <c r="Q69" s="2">
        <f t="shared" si="10"/>
        <v>42831.9758</v>
      </c>
    </row>
    <row r="70" spans="1:17" ht="12.75">
      <c r="A70" s="59" t="s">
        <v>177</v>
      </c>
      <c r="B70" s="60" t="s">
        <v>34</v>
      </c>
      <c r="C70" s="61">
        <v>57799.56227000011</v>
      </c>
      <c r="D70" s="61">
        <v>0.0003</v>
      </c>
      <c r="E70">
        <f>+(C70-C$7)/C$8</f>
        <v>21547.06883996586</v>
      </c>
      <c r="F70">
        <f t="shared" si="9"/>
        <v>21547</v>
      </c>
      <c r="G70">
        <f>+C70-(C$7+F70*C$8)</f>
        <v>0.016931100108195096</v>
      </c>
      <c r="K70">
        <f>+G70</f>
        <v>0.016931100108195096</v>
      </c>
      <c r="O70">
        <f>+C$11+C$12*$F70</f>
        <v>0.017068278835718508</v>
      </c>
      <c r="Q70" s="2">
        <f>+C70-15018.5</f>
        <v>42781.06227000011</v>
      </c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</sheetData>
  <sheetProtection/>
  <protectedRanges>
    <protectedRange sqref="A70:D70" name="Range1"/>
  </protectedRanges>
  <hyperlinks>
    <hyperlink ref="H64791" r:id="rId1" display="http://vsolj.cetus-net.org/bulletin.html"/>
    <hyperlink ref="H64784" r:id="rId2" display="https://www.aavso.org/ejaavso"/>
    <hyperlink ref="AP935" r:id="rId3" display="http://cdsbib.u-strasbg.fr/cgi-bin/cdsbib?1990RMxAA..21..381G"/>
    <hyperlink ref="AP939" r:id="rId4" display="http://cdsbib.u-strasbg.fr/cgi-bin/cdsbib?1990RMxAA..21..381G"/>
    <hyperlink ref="AP938" r:id="rId5" display="http://cdsbib.u-strasbg.fr/cgi-bin/cdsbib?1990RMxAA..21..381G"/>
    <hyperlink ref="AP919" r:id="rId6" display="http://cdsbib.u-strasbg.fr/cgi-bin/cdsbib?1990RMxAA..21..381G"/>
    <hyperlink ref="I64791" r:id="rId7" display="http://vsolj.cetus-net.org/bulletin.html"/>
    <hyperlink ref="AQ1075" r:id="rId8" display="http://cdsbib.u-strasbg.fr/cgi-bin/cdsbib?1990RMxAA..21..381G"/>
    <hyperlink ref="AQ55841" r:id="rId9" display="http://cdsbib.u-strasbg.fr/cgi-bin/cdsbib?1990RMxAA..21..381G"/>
    <hyperlink ref="AQ1076" r:id="rId10" display="http://cdsbib.u-strasbg.fr/cgi-bin/cdsbib?1990RMxAA..21..381G"/>
    <hyperlink ref="H64788" r:id="rId11" display="https://www.aavso.org/ejaavso"/>
    <hyperlink ref="H1961" r:id="rId12" display="http://vsolj.cetus-net.org/bulletin.html"/>
    <hyperlink ref="AP3205" r:id="rId13" display="http://cdsbib.u-strasbg.fr/cgi-bin/cdsbib?1990RMxAA..21..381G"/>
    <hyperlink ref="AP3208" r:id="rId14" display="http://cdsbib.u-strasbg.fr/cgi-bin/cdsbib?1990RMxAA..21..381G"/>
    <hyperlink ref="AP3206" r:id="rId15" display="http://cdsbib.u-strasbg.fr/cgi-bin/cdsbib?1990RMxAA..21..381G"/>
    <hyperlink ref="AP3190" r:id="rId16" display="http://cdsbib.u-strasbg.fr/cgi-bin/cdsbib?1990RMxAA..21..381G"/>
    <hyperlink ref="I1961" r:id="rId17" display="http://vsolj.cetus-net.org/bulletin.html"/>
    <hyperlink ref="AQ3419" r:id="rId18" display="http://cdsbib.u-strasbg.fr/cgi-bin/cdsbib?1990RMxAA..21..381G"/>
    <hyperlink ref="AQ120" r:id="rId19" display="http://cdsbib.u-strasbg.fr/cgi-bin/cdsbib?1990RMxAA..21..381G"/>
    <hyperlink ref="AQ342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32" sqref="A32:D3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59</v>
      </c>
      <c r="I1" s="38" t="s">
        <v>60</v>
      </c>
      <c r="J1" s="39" t="s">
        <v>61</v>
      </c>
    </row>
    <row r="2" spans="9:10" ht="12.75">
      <c r="I2" s="40" t="s">
        <v>62</v>
      </c>
      <c r="J2" s="41" t="s">
        <v>63</v>
      </c>
    </row>
    <row r="3" spans="1:10" ht="12.75">
      <c r="A3" s="42" t="s">
        <v>64</v>
      </c>
      <c r="I3" s="40" t="s">
        <v>65</v>
      </c>
      <c r="J3" s="41" t="s">
        <v>66</v>
      </c>
    </row>
    <row r="4" spans="9:10" ht="12.75">
      <c r="I4" s="40" t="s">
        <v>67</v>
      </c>
      <c r="J4" s="41" t="s">
        <v>66</v>
      </c>
    </row>
    <row r="5" spans="9:10" ht="13.5" thickBot="1">
      <c r="I5" s="43" t="s">
        <v>68</v>
      </c>
      <c r="J5" s="44" t="s">
        <v>69</v>
      </c>
    </row>
    <row r="10" ht="13.5" thickBot="1"/>
    <row r="11" spans="1:16" ht="12.75" customHeight="1" thickBot="1">
      <c r="A11" s="10" t="str">
        <f aca="true" t="shared" si="0" ref="A11:A35">P11</f>
        <v>OEJV 0074 </v>
      </c>
      <c r="B11" s="3" t="str">
        <f aca="true" t="shared" si="1" ref="B11:B35">IF(H11=INT(H11),"I","II")</f>
        <v>II</v>
      </c>
      <c r="C11" s="10">
        <f aca="true" t="shared" si="2" ref="C11:C35">1*G11</f>
        <v>51968.47</v>
      </c>
      <c r="D11" s="12" t="str">
        <f aca="true" t="shared" si="3" ref="D11:D35">VLOOKUP(F11,I$1:J$5,2,FALSE)</f>
        <v>vis</v>
      </c>
      <c r="E11" s="45">
        <f>VLOOKUP(C11,A!C$21:E$969,3,FALSE)</f>
        <v>-2161.502378341496</v>
      </c>
      <c r="F11" s="3" t="s">
        <v>68</v>
      </c>
      <c r="G11" s="12" t="str">
        <f aca="true" t="shared" si="4" ref="G11:G35">MID(I11,3,LEN(I11)-3)</f>
        <v>51968.4700</v>
      </c>
      <c r="H11" s="10">
        <f aca="true" t="shared" si="5" ref="H11:H35">1*K11</f>
        <v>-16342.5</v>
      </c>
      <c r="I11" s="46" t="s">
        <v>70</v>
      </c>
      <c r="J11" s="47" t="s">
        <v>71</v>
      </c>
      <c r="K11" s="46">
        <v>-16342.5</v>
      </c>
      <c r="L11" s="46" t="s">
        <v>72</v>
      </c>
      <c r="M11" s="47" t="s">
        <v>73</v>
      </c>
      <c r="N11" s="47" t="s">
        <v>74</v>
      </c>
      <c r="O11" s="48" t="s">
        <v>75</v>
      </c>
      <c r="P11" s="49" t="s">
        <v>76</v>
      </c>
    </row>
    <row r="12" spans="1:16" ht="12.75" customHeight="1" thickBot="1">
      <c r="A12" s="10" t="str">
        <f t="shared" si="0"/>
        <v>OEJV 0074 </v>
      </c>
      <c r="B12" s="3" t="str">
        <f t="shared" si="1"/>
        <v>II</v>
      </c>
      <c r="C12" s="10">
        <f t="shared" si="2"/>
        <v>52001.4288</v>
      </c>
      <c r="D12" s="12" t="str">
        <f t="shared" si="3"/>
        <v>vis</v>
      </c>
      <c r="E12" s="45">
        <f>VLOOKUP(C12,A!C$21:E$969,3,FALSE)</f>
        <v>-2027.495571230906</v>
      </c>
      <c r="F12" s="3" t="s">
        <v>68</v>
      </c>
      <c r="G12" s="12" t="str">
        <f t="shared" si="4"/>
        <v>52001.4288</v>
      </c>
      <c r="H12" s="10">
        <f t="shared" si="5"/>
        <v>-16208.5</v>
      </c>
      <c r="I12" s="46" t="s">
        <v>80</v>
      </c>
      <c r="J12" s="47" t="s">
        <v>81</v>
      </c>
      <c r="K12" s="46">
        <v>-16208.5</v>
      </c>
      <c r="L12" s="46" t="s">
        <v>82</v>
      </c>
      <c r="M12" s="47" t="s">
        <v>73</v>
      </c>
      <c r="N12" s="47" t="s">
        <v>74</v>
      </c>
      <c r="O12" s="48" t="s">
        <v>75</v>
      </c>
      <c r="P12" s="49" t="s">
        <v>76</v>
      </c>
    </row>
    <row r="13" spans="1:16" ht="12.75" customHeight="1" thickBot="1">
      <c r="A13" s="10" t="str">
        <f t="shared" si="0"/>
        <v>IBVS 5781 </v>
      </c>
      <c r="B13" s="3" t="str">
        <f t="shared" si="1"/>
        <v>I</v>
      </c>
      <c r="C13" s="10">
        <f t="shared" si="2"/>
        <v>54172.2952</v>
      </c>
      <c r="D13" s="12" t="str">
        <f t="shared" si="3"/>
        <v>vis</v>
      </c>
      <c r="E13" s="45">
        <f>VLOOKUP(C13,A!C$21:E$969,3,FALSE)</f>
        <v>6799.005239710558</v>
      </c>
      <c r="F13" s="3" t="s">
        <v>68</v>
      </c>
      <c r="G13" s="12" t="str">
        <f t="shared" si="4"/>
        <v>54172.2952</v>
      </c>
      <c r="H13" s="10">
        <f t="shared" si="5"/>
        <v>-7382</v>
      </c>
      <c r="I13" s="46" t="s">
        <v>85</v>
      </c>
      <c r="J13" s="47" t="s">
        <v>86</v>
      </c>
      <c r="K13" s="46">
        <v>-7382</v>
      </c>
      <c r="L13" s="46" t="s">
        <v>87</v>
      </c>
      <c r="M13" s="47" t="s">
        <v>73</v>
      </c>
      <c r="N13" s="47" t="s">
        <v>60</v>
      </c>
      <c r="O13" s="48" t="s">
        <v>88</v>
      </c>
      <c r="P13" s="49" t="s">
        <v>89</v>
      </c>
    </row>
    <row r="14" spans="1:16" ht="12.75" customHeight="1" thickBot="1">
      <c r="A14" s="10" t="str">
        <f t="shared" si="0"/>
        <v>IBVS 5781 </v>
      </c>
      <c r="B14" s="3" t="str">
        <f t="shared" si="1"/>
        <v>II</v>
      </c>
      <c r="C14" s="10">
        <f t="shared" si="2"/>
        <v>54172.4138</v>
      </c>
      <c r="D14" s="12" t="str">
        <f t="shared" si="3"/>
        <v>vis</v>
      </c>
      <c r="E14" s="45">
        <f>VLOOKUP(C14,A!C$21:E$969,3,FALSE)</f>
        <v>6799.487454091044</v>
      </c>
      <c r="F14" s="3" t="s">
        <v>68</v>
      </c>
      <c r="G14" s="12" t="str">
        <f t="shared" si="4"/>
        <v>54172.4138</v>
      </c>
      <c r="H14" s="10">
        <f t="shared" si="5"/>
        <v>-7381.5</v>
      </c>
      <c r="I14" s="46" t="s">
        <v>90</v>
      </c>
      <c r="J14" s="47" t="s">
        <v>91</v>
      </c>
      <c r="K14" s="46">
        <v>-7381.5</v>
      </c>
      <c r="L14" s="46" t="s">
        <v>92</v>
      </c>
      <c r="M14" s="47" t="s">
        <v>73</v>
      </c>
      <c r="N14" s="47" t="s">
        <v>60</v>
      </c>
      <c r="O14" s="48" t="s">
        <v>88</v>
      </c>
      <c r="P14" s="49" t="s">
        <v>89</v>
      </c>
    </row>
    <row r="15" spans="1:16" ht="12.75" customHeight="1" thickBot="1">
      <c r="A15" s="10" t="str">
        <f t="shared" si="0"/>
        <v>IBVS 5894 </v>
      </c>
      <c r="B15" s="3" t="str">
        <f t="shared" si="1"/>
        <v>II</v>
      </c>
      <c r="C15" s="10">
        <f t="shared" si="2"/>
        <v>54888.8673</v>
      </c>
      <c r="D15" s="12" t="str">
        <f t="shared" si="3"/>
        <v>vis</v>
      </c>
      <c r="E15" s="45">
        <f>VLOOKUP(C15,A!C$21:E$969,3,FALSE)</f>
        <v>9712.507526976146</v>
      </c>
      <c r="F15" s="3" t="s">
        <v>68</v>
      </c>
      <c r="G15" s="12" t="str">
        <f t="shared" si="4"/>
        <v>54888.8673</v>
      </c>
      <c r="H15" s="10">
        <f t="shared" si="5"/>
        <v>-4468.5</v>
      </c>
      <c r="I15" s="46" t="s">
        <v>93</v>
      </c>
      <c r="J15" s="47" t="s">
        <v>94</v>
      </c>
      <c r="K15" s="46">
        <v>-4468.5</v>
      </c>
      <c r="L15" s="46" t="s">
        <v>95</v>
      </c>
      <c r="M15" s="47" t="s">
        <v>73</v>
      </c>
      <c r="N15" s="47" t="s">
        <v>68</v>
      </c>
      <c r="O15" s="48" t="s">
        <v>96</v>
      </c>
      <c r="P15" s="49" t="s">
        <v>97</v>
      </c>
    </row>
    <row r="16" spans="1:16" ht="12.75" customHeight="1" thickBot="1">
      <c r="A16" s="10" t="str">
        <f t="shared" si="0"/>
        <v>IBVS 5894 </v>
      </c>
      <c r="B16" s="3" t="str">
        <f t="shared" si="1"/>
        <v>I</v>
      </c>
      <c r="C16" s="10">
        <f t="shared" si="2"/>
        <v>54888.9895</v>
      </c>
      <c r="D16" s="12" t="str">
        <f t="shared" si="3"/>
        <v>vis</v>
      </c>
      <c r="E16" s="45">
        <f>VLOOKUP(C16,A!C$21:E$969,3,FALSE)</f>
        <v>9713.004378555379</v>
      </c>
      <c r="F16" s="3" t="s">
        <v>68</v>
      </c>
      <c r="G16" s="12" t="str">
        <f t="shared" si="4"/>
        <v>54888.9895</v>
      </c>
      <c r="H16" s="10">
        <f t="shared" si="5"/>
        <v>-4468</v>
      </c>
      <c r="I16" s="46" t="s">
        <v>98</v>
      </c>
      <c r="J16" s="47" t="s">
        <v>99</v>
      </c>
      <c r="K16" s="46">
        <v>-4468</v>
      </c>
      <c r="L16" s="46" t="s">
        <v>100</v>
      </c>
      <c r="M16" s="47" t="s">
        <v>73</v>
      </c>
      <c r="N16" s="47" t="s">
        <v>68</v>
      </c>
      <c r="O16" s="48" t="s">
        <v>96</v>
      </c>
      <c r="P16" s="49" t="s">
        <v>97</v>
      </c>
    </row>
    <row r="17" spans="1:16" ht="12.75" customHeight="1" thickBot="1">
      <c r="A17" s="10" t="str">
        <f t="shared" si="0"/>
        <v>IBVS 5894 </v>
      </c>
      <c r="B17" s="3" t="str">
        <f t="shared" si="1"/>
        <v>II</v>
      </c>
      <c r="C17" s="10">
        <f t="shared" si="2"/>
        <v>54972.4908</v>
      </c>
      <c r="D17" s="12" t="str">
        <f t="shared" si="3"/>
        <v>vis</v>
      </c>
      <c r="E17" s="45">
        <f>VLOOKUP(C17,A!C$21:E$969,3,FALSE)</f>
        <v>10052.511357043153</v>
      </c>
      <c r="F17" s="3" t="s">
        <v>68</v>
      </c>
      <c r="G17" s="12" t="str">
        <f t="shared" si="4"/>
        <v>54972.4908</v>
      </c>
      <c r="H17" s="10">
        <f t="shared" si="5"/>
        <v>-4128.5</v>
      </c>
      <c r="I17" s="46" t="s">
        <v>101</v>
      </c>
      <c r="J17" s="47" t="s">
        <v>102</v>
      </c>
      <c r="K17" s="46">
        <v>-4128.5</v>
      </c>
      <c r="L17" s="46" t="s">
        <v>103</v>
      </c>
      <c r="M17" s="47" t="s">
        <v>73</v>
      </c>
      <c r="N17" s="47" t="s">
        <v>60</v>
      </c>
      <c r="O17" s="48" t="s">
        <v>88</v>
      </c>
      <c r="P17" s="49" t="s">
        <v>97</v>
      </c>
    </row>
    <row r="18" spans="1:16" ht="12.75" customHeight="1" thickBot="1">
      <c r="A18" s="10" t="str">
        <f t="shared" si="0"/>
        <v>IBVS 5965 </v>
      </c>
      <c r="B18" s="3" t="str">
        <f t="shared" si="1"/>
        <v>I</v>
      </c>
      <c r="C18" s="10">
        <f t="shared" si="2"/>
        <v>55297.2885</v>
      </c>
      <c r="D18" s="12" t="str">
        <f t="shared" si="3"/>
        <v>vis</v>
      </c>
      <c r="E18" s="45">
        <f>VLOOKUP(C18,A!C$21:E$969,3,FALSE)</f>
        <v>11373.10260229065</v>
      </c>
      <c r="F18" s="3" t="s">
        <v>68</v>
      </c>
      <c r="G18" s="12" t="str">
        <f t="shared" si="4"/>
        <v>55297.2885</v>
      </c>
      <c r="H18" s="10">
        <f t="shared" si="5"/>
        <v>-2808</v>
      </c>
      <c r="I18" s="46" t="s">
        <v>104</v>
      </c>
      <c r="J18" s="47" t="s">
        <v>105</v>
      </c>
      <c r="K18" s="46">
        <v>-2808</v>
      </c>
      <c r="L18" s="46" t="s">
        <v>106</v>
      </c>
      <c r="M18" s="47" t="s">
        <v>73</v>
      </c>
      <c r="N18" s="47" t="s">
        <v>107</v>
      </c>
      <c r="O18" s="48" t="s">
        <v>108</v>
      </c>
      <c r="P18" s="49" t="s">
        <v>109</v>
      </c>
    </row>
    <row r="19" spans="1:16" ht="12.75" customHeight="1" thickBot="1">
      <c r="A19" s="10" t="str">
        <f t="shared" si="0"/>
        <v>BAVM 214 </v>
      </c>
      <c r="B19" s="3" t="str">
        <f t="shared" si="1"/>
        <v>II</v>
      </c>
      <c r="C19" s="10">
        <f t="shared" si="2"/>
        <v>55309.4431</v>
      </c>
      <c r="D19" s="12" t="str">
        <f t="shared" si="3"/>
        <v>vis</v>
      </c>
      <c r="E19" s="45">
        <f>VLOOKUP(C19,A!C$21:E$969,3,FALSE)</f>
        <v>11422.521851101455</v>
      </c>
      <c r="F19" s="3" t="s">
        <v>68</v>
      </c>
      <c r="G19" s="12" t="str">
        <f t="shared" si="4"/>
        <v>55309.4431</v>
      </c>
      <c r="H19" s="10">
        <f t="shared" si="5"/>
        <v>-2758.5</v>
      </c>
      <c r="I19" s="46" t="s">
        <v>110</v>
      </c>
      <c r="J19" s="47" t="s">
        <v>111</v>
      </c>
      <c r="K19" s="46">
        <v>-2758.5</v>
      </c>
      <c r="L19" s="46" t="s">
        <v>112</v>
      </c>
      <c r="M19" s="47" t="s">
        <v>73</v>
      </c>
      <c r="N19" s="47" t="s">
        <v>113</v>
      </c>
      <c r="O19" s="48" t="s">
        <v>114</v>
      </c>
      <c r="P19" s="49" t="s">
        <v>115</v>
      </c>
    </row>
    <row r="20" spans="1:16" ht="12.75" customHeight="1" thickBot="1">
      <c r="A20" s="10" t="str">
        <f t="shared" si="0"/>
        <v>BAVM 214 </v>
      </c>
      <c r="B20" s="3" t="str">
        <f t="shared" si="1"/>
        <v>I</v>
      </c>
      <c r="C20" s="10">
        <f t="shared" si="2"/>
        <v>55309.5657</v>
      </c>
      <c r="D20" s="12" t="str">
        <f t="shared" si="3"/>
        <v>vis</v>
      </c>
      <c r="E20" s="45">
        <f>VLOOKUP(C20,A!C$21:E$969,3,FALSE)</f>
        <v>11423.020329036091</v>
      </c>
      <c r="F20" s="3" t="s">
        <v>68</v>
      </c>
      <c r="G20" s="12" t="str">
        <f t="shared" si="4"/>
        <v>55309.5657</v>
      </c>
      <c r="H20" s="10">
        <f t="shared" si="5"/>
        <v>-2758</v>
      </c>
      <c r="I20" s="46" t="s">
        <v>116</v>
      </c>
      <c r="J20" s="47" t="s">
        <v>117</v>
      </c>
      <c r="K20" s="46" t="s">
        <v>118</v>
      </c>
      <c r="L20" s="46" t="s">
        <v>119</v>
      </c>
      <c r="M20" s="47" t="s">
        <v>73</v>
      </c>
      <c r="N20" s="47" t="s">
        <v>113</v>
      </c>
      <c r="O20" s="48" t="s">
        <v>114</v>
      </c>
      <c r="P20" s="49" t="s">
        <v>115</v>
      </c>
    </row>
    <row r="21" spans="1:16" ht="12.75" customHeight="1" thickBot="1">
      <c r="A21" s="10" t="str">
        <f t="shared" si="0"/>
        <v>IBVS 5992 </v>
      </c>
      <c r="B21" s="3" t="str">
        <f t="shared" si="1"/>
        <v>I</v>
      </c>
      <c r="C21" s="10">
        <f t="shared" si="2"/>
        <v>55622.9055</v>
      </c>
      <c r="D21" s="12" t="str">
        <f t="shared" si="3"/>
        <v>vis</v>
      </c>
      <c r="E21" s="45">
        <f>VLOOKUP(C21,A!C$21:E$969,3,FALSE)</f>
        <v>12697.025030016424</v>
      </c>
      <c r="F21" s="3" t="s">
        <v>68</v>
      </c>
      <c r="G21" s="12" t="str">
        <f t="shared" si="4"/>
        <v>55622.9055</v>
      </c>
      <c r="H21" s="10">
        <f t="shared" si="5"/>
        <v>-1484</v>
      </c>
      <c r="I21" s="46" t="s">
        <v>120</v>
      </c>
      <c r="J21" s="47" t="s">
        <v>121</v>
      </c>
      <c r="K21" s="46" t="s">
        <v>122</v>
      </c>
      <c r="L21" s="46" t="s">
        <v>123</v>
      </c>
      <c r="M21" s="47" t="s">
        <v>73</v>
      </c>
      <c r="N21" s="47" t="s">
        <v>68</v>
      </c>
      <c r="O21" s="48" t="s">
        <v>96</v>
      </c>
      <c r="P21" s="49" t="s">
        <v>124</v>
      </c>
    </row>
    <row r="22" spans="1:16" ht="12.75" customHeight="1" thickBot="1">
      <c r="A22" s="10" t="str">
        <f t="shared" si="0"/>
        <v>BAVM 220 </v>
      </c>
      <c r="B22" s="3" t="str">
        <f t="shared" si="1"/>
        <v>I</v>
      </c>
      <c r="C22" s="10">
        <f t="shared" si="2"/>
        <v>55669.3894</v>
      </c>
      <c r="D22" s="12" t="str">
        <f t="shared" si="3"/>
        <v>vis</v>
      </c>
      <c r="E22" s="45">
        <f>VLOOKUP(C22,A!C$21:E$969,3,FALSE)</f>
        <v>12886.023386177687</v>
      </c>
      <c r="F22" s="3" t="s">
        <v>68</v>
      </c>
      <c r="G22" s="12" t="str">
        <f t="shared" si="4"/>
        <v>55669.3894</v>
      </c>
      <c r="H22" s="10">
        <f t="shared" si="5"/>
        <v>-1295</v>
      </c>
      <c r="I22" s="46" t="s">
        <v>125</v>
      </c>
      <c r="J22" s="47" t="s">
        <v>126</v>
      </c>
      <c r="K22" s="46" t="s">
        <v>127</v>
      </c>
      <c r="L22" s="46" t="s">
        <v>128</v>
      </c>
      <c r="M22" s="47" t="s">
        <v>73</v>
      </c>
      <c r="N22" s="47" t="s">
        <v>113</v>
      </c>
      <c r="O22" s="48" t="s">
        <v>114</v>
      </c>
      <c r="P22" s="49" t="s">
        <v>129</v>
      </c>
    </row>
    <row r="23" spans="1:16" ht="12.75" customHeight="1" thickBot="1">
      <c r="A23" s="10" t="str">
        <f t="shared" si="0"/>
        <v>BAVM 220 </v>
      </c>
      <c r="B23" s="3" t="str">
        <f t="shared" si="1"/>
        <v>II</v>
      </c>
      <c r="C23" s="10">
        <f t="shared" si="2"/>
        <v>55669.5145</v>
      </c>
      <c r="D23" s="12" t="str">
        <f t="shared" si="3"/>
        <v>vis</v>
      </c>
      <c r="E23" s="45">
        <f>VLOOKUP(C23,A!C$21:E$969,3,FALSE)</f>
        <v>12886.532028833644</v>
      </c>
      <c r="F23" s="3" t="s">
        <v>68</v>
      </c>
      <c r="G23" s="12" t="str">
        <f t="shared" si="4"/>
        <v>55669.5145</v>
      </c>
      <c r="H23" s="10">
        <f t="shared" si="5"/>
        <v>-1294.5</v>
      </c>
      <c r="I23" s="46" t="s">
        <v>130</v>
      </c>
      <c r="J23" s="47" t="s">
        <v>131</v>
      </c>
      <c r="K23" s="46" t="s">
        <v>132</v>
      </c>
      <c r="L23" s="46" t="s">
        <v>95</v>
      </c>
      <c r="M23" s="47" t="s">
        <v>73</v>
      </c>
      <c r="N23" s="47" t="s">
        <v>113</v>
      </c>
      <c r="O23" s="48" t="s">
        <v>114</v>
      </c>
      <c r="P23" s="49" t="s">
        <v>129</v>
      </c>
    </row>
    <row r="24" spans="1:16" ht="12.75" customHeight="1" thickBot="1">
      <c r="A24" s="10" t="str">
        <f t="shared" si="0"/>
        <v>IBVS 5992 </v>
      </c>
      <c r="B24" s="3" t="str">
        <f t="shared" si="1"/>
        <v>II</v>
      </c>
      <c r="C24" s="10">
        <f t="shared" si="2"/>
        <v>55684.7634</v>
      </c>
      <c r="D24" s="12" t="str">
        <f t="shared" si="3"/>
        <v>vis</v>
      </c>
      <c r="E24" s="45">
        <f>VLOOKUP(C24,A!C$21:E$969,3,FALSE)</f>
        <v>12948.532356544285</v>
      </c>
      <c r="F24" s="3" t="s">
        <v>68</v>
      </c>
      <c r="G24" s="12" t="str">
        <f t="shared" si="4"/>
        <v>55684.7634</v>
      </c>
      <c r="H24" s="10">
        <f t="shared" si="5"/>
        <v>-1232.5</v>
      </c>
      <c r="I24" s="46" t="s">
        <v>133</v>
      </c>
      <c r="J24" s="47" t="s">
        <v>134</v>
      </c>
      <c r="K24" s="46" t="s">
        <v>135</v>
      </c>
      <c r="L24" s="46" t="s">
        <v>119</v>
      </c>
      <c r="M24" s="47" t="s">
        <v>73</v>
      </c>
      <c r="N24" s="47" t="s">
        <v>68</v>
      </c>
      <c r="O24" s="48" t="s">
        <v>96</v>
      </c>
      <c r="P24" s="49" t="s">
        <v>124</v>
      </c>
    </row>
    <row r="25" spans="1:16" ht="12.75" customHeight="1" thickBot="1">
      <c r="A25" s="10" t="str">
        <f t="shared" si="0"/>
        <v>IBVS 5992 </v>
      </c>
      <c r="B25" s="3" t="str">
        <f t="shared" si="1"/>
        <v>I</v>
      </c>
      <c r="C25" s="10">
        <f t="shared" si="2"/>
        <v>55684.8839</v>
      </c>
      <c r="D25" s="12" t="str">
        <f t="shared" si="3"/>
        <v>vis</v>
      </c>
      <c r="E25" s="45">
        <f>VLOOKUP(C25,A!C$21:E$969,3,FALSE)</f>
        <v>12949.022296112973</v>
      </c>
      <c r="F25" s="3" t="s">
        <v>68</v>
      </c>
      <c r="G25" s="12" t="str">
        <f t="shared" si="4"/>
        <v>55684.8839</v>
      </c>
      <c r="H25" s="10">
        <f t="shared" si="5"/>
        <v>-1232</v>
      </c>
      <c r="I25" s="46" t="s">
        <v>136</v>
      </c>
      <c r="J25" s="47" t="s">
        <v>137</v>
      </c>
      <c r="K25" s="46" t="s">
        <v>138</v>
      </c>
      <c r="L25" s="46" t="s">
        <v>139</v>
      </c>
      <c r="M25" s="47" t="s">
        <v>73</v>
      </c>
      <c r="N25" s="47" t="s">
        <v>68</v>
      </c>
      <c r="O25" s="48" t="s">
        <v>96</v>
      </c>
      <c r="P25" s="49" t="s">
        <v>124</v>
      </c>
    </row>
    <row r="26" spans="1:16" ht="12.75" customHeight="1" thickBot="1">
      <c r="A26" s="10" t="str">
        <f t="shared" si="0"/>
        <v>IBVS 6041 </v>
      </c>
      <c r="B26" s="3" t="str">
        <f t="shared" si="1"/>
        <v>I</v>
      </c>
      <c r="C26" s="10">
        <f t="shared" si="2"/>
        <v>55691.5255</v>
      </c>
      <c r="D26" s="12" t="str">
        <f t="shared" si="3"/>
        <v>vis</v>
      </c>
      <c r="E26" s="45">
        <f>VLOOKUP(C26,A!C$21:E$969,3,FALSE)</f>
        <v>12976.02630141978</v>
      </c>
      <c r="F26" s="3" t="s">
        <v>68</v>
      </c>
      <c r="G26" s="12" t="str">
        <f t="shared" si="4"/>
        <v>55691.5255</v>
      </c>
      <c r="H26" s="10">
        <f t="shared" si="5"/>
        <v>-1205</v>
      </c>
      <c r="I26" s="46" t="s">
        <v>140</v>
      </c>
      <c r="J26" s="47" t="s">
        <v>141</v>
      </c>
      <c r="K26" s="46" t="s">
        <v>142</v>
      </c>
      <c r="L26" s="46" t="s">
        <v>143</v>
      </c>
      <c r="M26" s="47" t="s">
        <v>73</v>
      </c>
      <c r="N26" s="47" t="s">
        <v>107</v>
      </c>
      <c r="O26" s="48" t="s">
        <v>144</v>
      </c>
      <c r="P26" s="49" t="s">
        <v>145</v>
      </c>
    </row>
    <row r="27" spans="1:16" ht="12.75" customHeight="1" thickBot="1">
      <c r="A27" s="10" t="str">
        <f t="shared" si="0"/>
        <v>BAVM 220 </v>
      </c>
      <c r="B27" s="3" t="str">
        <f t="shared" si="1"/>
        <v>I</v>
      </c>
      <c r="C27" s="10">
        <f t="shared" si="2"/>
        <v>55700.3803</v>
      </c>
      <c r="D27" s="12" t="str">
        <f t="shared" si="3"/>
        <v>vis</v>
      </c>
      <c r="E27" s="45">
        <f>VLOOKUP(C27,A!C$21:E$969,3,FALSE)</f>
        <v>13012.02893123646</v>
      </c>
      <c r="F27" s="3" t="s">
        <v>68</v>
      </c>
      <c r="G27" s="12" t="str">
        <f t="shared" si="4"/>
        <v>55700.3803</v>
      </c>
      <c r="H27" s="10">
        <f t="shared" si="5"/>
        <v>-1169</v>
      </c>
      <c r="I27" s="46" t="s">
        <v>146</v>
      </c>
      <c r="J27" s="47" t="s">
        <v>147</v>
      </c>
      <c r="K27" s="46" t="s">
        <v>148</v>
      </c>
      <c r="L27" s="46" t="s">
        <v>149</v>
      </c>
      <c r="M27" s="47" t="s">
        <v>73</v>
      </c>
      <c r="N27" s="47" t="s">
        <v>113</v>
      </c>
      <c r="O27" s="48" t="s">
        <v>114</v>
      </c>
      <c r="P27" s="49" t="s">
        <v>129</v>
      </c>
    </row>
    <row r="28" spans="1:16" ht="12.75" customHeight="1" thickBot="1">
      <c r="A28" s="10" t="str">
        <f t="shared" si="0"/>
        <v>BAVM 220 </v>
      </c>
      <c r="B28" s="3" t="str">
        <f t="shared" si="1"/>
        <v>II</v>
      </c>
      <c r="C28" s="10">
        <f t="shared" si="2"/>
        <v>55700.5035</v>
      </c>
      <c r="D28" s="12" t="str">
        <f t="shared" si="3"/>
        <v>vis</v>
      </c>
      <c r="E28" s="45">
        <f>VLOOKUP(C28,A!C$21:E$969,3,FALSE)</f>
        <v>13012.529848704216</v>
      </c>
      <c r="F28" s="3" t="s">
        <v>68</v>
      </c>
      <c r="G28" s="12" t="str">
        <f t="shared" si="4"/>
        <v>55700.5035</v>
      </c>
      <c r="H28" s="10">
        <f t="shared" si="5"/>
        <v>-1168.5</v>
      </c>
      <c r="I28" s="46" t="s">
        <v>150</v>
      </c>
      <c r="J28" s="47" t="s">
        <v>151</v>
      </c>
      <c r="K28" s="46" t="s">
        <v>152</v>
      </c>
      <c r="L28" s="46" t="s">
        <v>100</v>
      </c>
      <c r="M28" s="47" t="s">
        <v>73</v>
      </c>
      <c r="N28" s="47" t="s">
        <v>113</v>
      </c>
      <c r="O28" s="48" t="s">
        <v>114</v>
      </c>
      <c r="P28" s="49" t="s">
        <v>129</v>
      </c>
    </row>
    <row r="29" spans="1:16" ht="12.75" customHeight="1" thickBot="1">
      <c r="A29" s="10" t="str">
        <f t="shared" si="0"/>
        <v>IBVS 6029 </v>
      </c>
      <c r="B29" s="3" t="str">
        <f t="shared" si="1"/>
        <v>I</v>
      </c>
      <c r="C29" s="10">
        <f t="shared" si="2"/>
        <v>55987.8966</v>
      </c>
      <c r="D29" s="12" t="str">
        <f t="shared" si="3"/>
        <v>vis</v>
      </c>
      <c r="E29" s="45">
        <f>VLOOKUP(C29,A!C$21:E$969,3,FALSE)</f>
        <v>14181.038159583684</v>
      </c>
      <c r="F29" s="3" t="s">
        <v>68</v>
      </c>
      <c r="G29" s="12" t="str">
        <f t="shared" si="4"/>
        <v>55987.8966</v>
      </c>
      <c r="H29" s="10">
        <f t="shared" si="5"/>
        <v>0</v>
      </c>
      <c r="I29" s="46" t="s">
        <v>153</v>
      </c>
      <c r="J29" s="47" t="s">
        <v>154</v>
      </c>
      <c r="K29" s="46" t="s">
        <v>155</v>
      </c>
      <c r="L29" s="46" t="s">
        <v>156</v>
      </c>
      <c r="M29" s="47" t="s">
        <v>73</v>
      </c>
      <c r="N29" s="47" t="s">
        <v>68</v>
      </c>
      <c r="O29" s="48" t="s">
        <v>96</v>
      </c>
      <c r="P29" s="49" t="s">
        <v>157</v>
      </c>
    </row>
    <row r="30" spans="1:16" ht="12.75" customHeight="1" thickBot="1">
      <c r="A30" s="10" t="str">
        <f t="shared" si="0"/>
        <v>IBVS 6029 </v>
      </c>
      <c r="B30" s="3" t="str">
        <f t="shared" si="1"/>
        <v>II</v>
      </c>
      <c r="C30" s="10">
        <f t="shared" si="2"/>
        <v>56049.7524</v>
      </c>
      <c r="D30" s="12" t="str">
        <f t="shared" si="3"/>
        <v>vis</v>
      </c>
      <c r="E30" s="45">
        <f>VLOOKUP(C30,A!C$21:E$969,3,FALSE)</f>
        <v>14432.536947745597</v>
      </c>
      <c r="F30" s="3" t="s">
        <v>68</v>
      </c>
      <c r="G30" s="12" t="str">
        <f t="shared" si="4"/>
        <v>56049.7524</v>
      </c>
      <c r="H30" s="10">
        <f t="shared" si="5"/>
        <v>251.5</v>
      </c>
      <c r="I30" s="46" t="s">
        <v>158</v>
      </c>
      <c r="J30" s="47" t="s">
        <v>159</v>
      </c>
      <c r="K30" s="46" t="s">
        <v>160</v>
      </c>
      <c r="L30" s="46" t="s">
        <v>161</v>
      </c>
      <c r="M30" s="47" t="s">
        <v>73</v>
      </c>
      <c r="N30" s="47" t="s">
        <v>68</v>
      </c>
      <c r="O30" s="48" t="s">
        <v>96</v>
      </c>
      <c r="P30" s="49" t="s">
        <v>157</v>
      </c>
    </row>
    <row r="31" spans="1:16" ht="12.75" customHeight="1" thickBot="1">
      <c r="A31" s="10" t="str">
        <f t="shared" si="0"/>
        <v>IBVS 6063 </v>
      </c>
      <c r="B31" s="3" t="str">
        <f t="shared" si="1"/>
        <v>II</v>
      </c>
      <c r="C31" s="10">
        <f t="shared" si="2"/>
        <v>56447.6983</v>
      </c>
      <c r="D31" s="12" t="str">
        <f t="shared" si="3"/>
        <v>vis</v>
      </c>
      <c r="E31" s="45">
        <f>VLOOKUP(C31,A!C$21:E$969,3,FALSE)</f>
        <v>16050.540620869297</v>
      </c>
      <c r="F31" s="3" t="s">
        <v>68</v>
      </c>
      <c r="G31" s="12" t="str">
        <f t="shared" si="4"/>
        <v>56447.6983</v>
      </c>
      <c r="H31" s="10">
        <f t="shared" si="5"/>
        <v>1869.5</v>
      </c>
      <c r="I31" s="46" t="s">
        <v>162</v>
      </c>
      <c r="J31" s="47" t="s">
        <v>163</v>
      </c>
      <c r="K31" s="46" t="s">
        <v>164</v>
      </c>
      <c r="L31" s="46" t="s">
        <v>165</v>
      </c>
      <c r="M31" s="47" t="s">
        <v>73</v>
      </c>
      <c r="N31" s="47" t="s">
        <v>166</v>
      </c>
      <c r="O31" s="48" t="s">
        <v>96</v>
      </c>
      <c r="P31" s="49" t="s">
        <v>167</v>
      </c>
    </row>
    <row r="32" spans="1:16" ht="12.75" customHeight="1" thickBot="1">
      <c r="A32" s="10" t="str">
        <f t="shared" si="0"/>
        <v>OEJV 0074 </v>
      </c>
      <c r="B32" s="3" t="str">
        <f t="shared" si="1"/>
        <v>I</v>
      </c>
      <c r="C32" s="10">
        <f t="shared" si="2"/>
        <v>51968.5925</v>
      </c>
      <c r="D32" s="12" t="str">
        <f t="shared" si="3"/>
        <v>vis</v>
      </c>
      <c r="E32" s="45" t="e">
        <f>VLOOKUP(C32,A!C$21:E$969,3,FALSE)</f>
        <v>#N/A</v>
      </c>
      <c r="F32" s="3" t="s">
        <v>68</v>
      </c>
      <c r="G32" s="12" t="str">
        <f t="shared" si="4"/>
        <v>51968.5925</v>
      </c>
      <c r="H32" s="10">
        <f t="shared" si="5"/>
        <v>-16342</v>
      </c>
      <c r="I32" s="46" t="s">
        <v>77</v>
      </c>
      <c r="J32" s="47" t="s">
        <v>78</v>
      </c>
      <c r="K32" s="46">
        <v>-16342</v>
      </c>
      <c r="L32" s="46" t="s">
        <v>79</v>
      </c>
      <c r="M32" s="47" t="s">
        <v>73</v>
      </c>
      <c r="N32" s="47" t="s">
        <v>74</v>
      </c>
      <c r="O32" s="48" t="s">
        <v>75</v>
      </c>
      <c r="P32" s="49" t="s">
        <v>76</v>
      </c>
    </row>
    <row r="33" spans="1:16" ht="12.75" customHeight="1" thickBot="1">
      <c r="A33" s="10" t="str">
        <f t="shared" si="0"/>
        <v>OEJV 0074 </v>
      </c>
      <c r="B33" s="3" t="str">
        <f t="shared" si="1"/>
        <v>I</v>
      </c>
      <c r="C33" s="10">
        <f t="shared" si="2"/>
        <v>52001.5518</v>
      </c>
      <c r="D33" s="12" t="str">
        <f t="shared" si="3"/>
        <v>vis</v>
      </c>
      <c r="E33" s="45" t="e">
        <f>VLOOKUP(C33,A!C$21:E$969,3,FALSE)</f>
        <v>#N/A</v>
      </c>
      <c r="F33" s="3" t="s">
        <v>68</v>
      </c>
      <c r="G33" s="12" t="str">
        <f t="shared" si="4"/>
        <v>52001.5518</v>
      </c>
      <c r="H33" s="10">
        <f t="shared" si="5"/>
        <v>-16208</v>
      </c>
      <c r="I33" s="46" t="s">
        <v>83</v>
      </c>
      <c r="J33" s="47" t="s">
        <v>84</v>
      </c>
      <c r="K33" s="46">
        <v>-16208</v>
      </c>
      <c r="L33" s="46" t="s">
        <v>82</v>
      </c>
      <c r="M33" s="47" t="s">
        <v>73</v>
      </c>
      <c r="N33" s="47" t="s">
        <v>74</v>
      </c>
      <c r="O33" s="48" t="s">
        <v>75</v>
      </c>
      <c r="P33" s="49" t="s">
        <v>76</v>
      </c>
    </row>
    <row r="34" spans="1:16" ht="12.75" customHeight="1" thickBot="1">
      <c r="A34" s="10" t="str">
        <f t="shared" si="0"/>
        <v>IBVS 6063 </v>
      </c>
      <c r="B34" s="3" t="str">
        <f t="shared" si="1"/>
        <v>II</v>
      </c>
      <c r="C34" s="10">
        <f t="shared" si="2"/>
        <v>56447.6988</v>
      </c>
      <c r="D34" s="12" t="str">
        <f t="shared" si="3"/>
        <v>vis</v>
      </c>
      <c r="E34" s="45" t="e">
        <f>VLOOKUP(C34,A!C$21:E$969,3,FALSE)</f>
        <v>#N/A</v>
      </c>
      <c r="F34" s="3" t="s">
        <v>68</v>
      </c>
      <c r="G34" s="12" t="str">
        <f t="shared" si="4"/>
        <v>56447.6988</v>
      </c>
      <c r="H34" s="10">
        <f t="shared" si="5"/>
        <v>1869.5</v>
      </c>
      <c r="I34" s="46" t="s">
        <v>168</v>
      </c>
      <c r="J34" s="47" t="s">
        <v>169</v>
      </c>
      <c r="K34" s="46" t="s">
        <v>164</v>
      </c>
      <c r="L34" s="46" t="s">
        <v>170</v>
      </c>
      <c r="M34" s="47" t="s">
        <v>73</v>
      </c>
      <c r="N34" s="47" t="s">
        <v>171</v>
      </c>
      <c r="O34" s="48" t="s">
        <v>96</v>
      </c>
      <c r="P34" s="49" t="s">
        <v>167</v>
      </c>
    </row>
    <row r="35" spans="1:16" ht="12.75" customHeight="1" thickBot="1">
      <c r="A35" s="10" t="str">
        <f t="shared" si="0"/>
        <v>IBVS 6063 </v>
      </c>
      <c r="B35" s="3" t="str">
        <f t="shared" si="1"/>
        <v>II</v>
      </c>
      <c r="C35" s="10">
        <f t="shared" si="2"/>
        <v>56447.7009</v>
      </c>
      <c r="D35" s="12" t="str">
        <f t="shared" si="3"/>
        <v>vis</v>
      </c>
      <c r="E35" s="45" t="e">
        <f>VLOOKUP(C35,A!C$21:E$969,3,FALSE)</f>
        <v>#N/A</v>
      </c>
      <c r="F35" s="3" t="s">
        <v>68</v>
      </c>
      <c r="G35" s="12" t="str">
        <f t="shared" si="4"/>
        <v>56447.7009</v>
      </c>
      <c r="H35" s="10">
        <f t="shared" si="5"/>
        <v>1869.5</v>
      </c>
      <c r="I35" s="46" t="s">
        <v>172</v>
      </c>
      <c r="J35" s="47" t="s">
        <v>173</v>
      </c>
      <c r="K35" s="46" t="s">
        <v>164</v>
      </c>
      <c r="L35" s="46" t="s">
        <v>174</v>
      </c>
      <c r="M35" s="47" t="s">
        <v>73</v>
      </c>
      <c r="N35" s="47" t="s">
        <v>68</v>
      </c>
      <c r="O35" s="48" t="s">
        <v>96</v>
      </c>
      <c r="P35" s="49" t="s">
        <v>167</v>
      </c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</sheetData>
  <sheetProtection/>
  <hyperlinks>
    <hyperlink ref="P11" r:id="rId1" display="http://var.astro.cz/oejv/issues/oejv0074.pdf"/>
    <hyperlink ref="P32" r:id="rId2" display="http://var.astro.cz/oejv/issues/oejv0074.pdf"/>
    <hyperlink ref="P12" r:id="rId3" display="http://var.astro.cz/oejv/issues/oejv0074.pdf"/>
    <hyperlink ref="P33" r:id="rId4" display="http://var.astro.cz/oejv/issues/oejv0074.pdf"/>
    <hyperlink ref="P13" r:id="rId5" display="http://www.konkoly.hu/cgi-bin/IBVS?5781"/>
    <hyperlink ref="P14" r:id="rId6" display="http://www.konkoly.hu/cgi-bin/IBVS?5781"/>
    <hyperlink ref="P15" r:id="rId7" display="http://www.konkoly.hu/cgi-bin/IBVS?5894"/>
    <hyperlink ref="P16" r:id="rId8" display="http://www.konkoly.hu/cgi-bin/IBVS?5894"/>
    <hyperlink ref="P17" r:id="rId9" display="http://www.konkoly.hu/cgi-bin/IBVS?5894"/>
    <hyperlink ref="P18" r:id="rId10" display="http://www.konkoly.hu/cgi-bin/IBVS?5965"/>
    <hyperlink ref="P19" r:id="rId11" display="http://www.bav-astro.de/sfs/BAVM_link.php?BAVMnr=214"/>
    <hyperlink ref="P20" r:id="rId12" display="http://www.bav-astro.de/sfs/BAVM_link.php?BAVMnr=214"/>
    <hyperlink ref="P21" r:id="rId13" display="http://www.konkoly.hu/cgi-bin/IBVS?5992"/>
    <hyperlink ref="P22" r:id="rId14" display="http://www.bav-astro.de/sfs/BAVM_link.php?BAVMnr=220"/>
    <hyperlink ref="P23" r:id="rId15" display="http://www.bav-astro.de/sfs/BAVM_link.php?BAVMnr=220"/>
    <hyperlink ref="P24" r:id="rId16" display="http://www.konkoly.hu/cgi-bin/IBVS?5992"/>
    <hyperlink ref="P25" r:id="rId17" display="http://www.konkoly.hu/cgi-bin/IBVS?5992"/>
    <hyperlink ref="P26" r:id="rId18" display="http://www.konkoly.hu/cgi-bin/IBVS?6041"/>
    <hyperlink ref="P27" r:id="rId19" display="http://www.bav-astro.de/sfs/BAVM_link.php?BAVMnr=220"/>
    <hyperlink ref="P28" r:id="rId20" display="http://www.bav-astro.de/sfs/BAVM_link.php?BAVMnr=220"/>
    <hyperlink ref="P29" r:id="rId21" display="http://www.konkoly.hu/cgi-bin/IBVS?6029"/>
    <hyperlink ref="P30" r:id="rId22" display="http://www.konkoly.hu/cgi-bin/IBVS?6029"/>
    <hyperlink ref="P31" r:id="rId23" display="http://www.konkoly.hu/cgi-bin/IBVS?6063"/>
    <hyperlink ref="P34" r:id="rId24" display="http://www.konkoly.hu/cgi-bin/IBVS?6063"/>
    <hyperlink ref="P35" r:id="rId25" display="http://www.konkoly.hu/cgi-bin/IBVS?60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