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6424F47-5F8A-40BC-B49A-5D720A08A0B0}" xr6:coauthVersionLast="47" xr6:coauthVersionMax="47" xr10:uidLastSave="{00000000-0000-0000-0000-000000000000}"/>
  <bookViews>
    <workbookView xWindow="13800" yWindow="165" windowWidth="13470" windowHeight="1456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8" i="1" l="1"/>
  <c r="F48" i="1" s="1"/>
  <c r="G48" i="1" s="1"/>
  <c r="K48" i="1" s="1"/>
  <c r="Q48" i="1"/>
  <c r="E46" i="1"/>
  <c r="F46" i="1" s="1"/>
  <c r="G46" i="1" s="1"/>
  <c r="K46" i="1" s="1"/>
  <c r="Q46" i="1"/>
  <c r="E47" i="1"/>
  <c r="F47" i="1" s="1"/>
  <c r="G47" i="1" s="1"/>
  <c r="K47" i="1" s="1"/>
  <c r="Q47" i="1"/>
  <c r="E43" i="1"/>
  <c r="F43" i="1"/>
  <c r="G43" i="1"/>
  <c r="K43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E42" i="1"/>
  <c r="F42" i="1"/>
  <c r="G42" i="1"/>
  <c r="K42" i="1"/>
  <c r="E44" i="1"/>
  <c r="F44" i="1"/>
  <c r="G44" i="1"/>
  <c r="K44" i="1"/>
  <c r="E45" i="1"/>
  <c r="F45" i="1"/>
  <c r="G45" i="1"/>
  <c r="K45" i="1"/>
  <c r="Q43" i="1"/>
  <c r="Q44" i="1"/>
  <c r="Q45" i="1"/>
  <c r="E25" i="1"/>
  <c r="F25" i="1"/>
  <c r="G25" i="1"/>
  <c r="K25" i="1"/>
  <c r="E26" i="1"/>
  <c r="F26" i="1"/>
  <c r="G26" i="1"/>
  <c r="K26" i="1"/>
  <c r="E27" i="1"/>
  <c r="F27" i="1"/>
  <c r="G27" i="1"/>
  <c r="J27" i="1"/>
  <c r="E28" i="1"/>
  <c r="F28" i="1"/>
  <c r="G28" i="1"/>
  <c r="J28" i="1"/>
  <c r="E29" i="1"/>
  <c r="F29" i="1"/>
  <c r="G29" i="1"/>
  <c r="J29" i="1"/>
  <c r="E30" i="1"/>
  <c r="F30" i="1"/>
  <c r="G30" i="1"/>
  <c r="K30" i="1"/>
  <c r="E31" i="1"/>
  <c r="F31" i="1"/>
  <c r="G31" i="1"/>
  <c r="J31" i="1"/>
  <c r="E32" i="1"/>
  <c r="F32" i="1"/>
  <c r="G32" i="1"/>
  <c r="K32" i="1"/>
  <c r="Q40" i="1"/>
  <c r="Q41" i="1"/>
  <c r="Q42" i="1"/>
  <c r="Q35" i="1"/>
  <c r="Q39" i="1"/>
  <c r="Q34" i="1"/>
  <c r="Q36" i="1"/>
  <c r="Q37" i="1"/>
  <c r="Q38" i="1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13" i="2"/>
  <c r="D13" i="2"/>
  <c r="B13" i="2"/>
  <c r="A13" i="2"/>
  <c r="H12" i="2"/>
  <c r="B12" i="2"/>
  <c r="D12" i="2"/>
  <c r="A12" i="2"/>
  <c r="H11" i="2"/>
  <c r="D11" i="2"/>
  <c r="B11" i="2"/>
  <c r="A11" i="2"/>
  <c r="E24" i="1"/>
  <c r="F24" i="1"/>
  <c r="G24" i="1"/>
  <c r="K24" i="1"/>
  <c r="E22" i="1"/>
  <c r="F22" i="1"/>
  <c r="G22" i="1"/>
  <c r="K22" i="1"/>
  <c r="E23" i="1"/>
  <c r="F23" i="1"/>
  <c r="G23" i="1"/>
  <c r="K23" i="1"/>
  <c r="E21" i="1"/>
  <c r="F21" i="1"/>
  <c r="G21" i="1"/>
  <c r="K21" i="1"/>
  <c r="D9" i="1"/>
  <c r="C9" i="1"/>
  <c r="Q31" i="1"/>
  <c r="Q32" i="1"/>
  <c r="Q27" i="1"/>
  <c r="Q28" i="1"/>
  <c r="Q29" i="1"/>
  <c r="Q21" i="1"/>
  <c r="Q22" i="1"/>
  <c r="Q23" i="1"/>
  <c r="Q24" i="1"/>
  <c r="Q33" i="1"/>
  <c r="Q25" i="1"/>
  <c r="Q26" i="1"/>
  <c r="Q30" i="1"/>
  <c r="F16" i="1"/>
  <c r="F17" i="1" s="1"/>
  <c r="C17" i="1"/>
  <c r="C11" i="1"/>
  <c r="C12" i="1"/>
  <c r="O48" i="1" l="1"/>
  <c r="O47" i="1"/>
  <c r="O46" i="1"/>
  <c r="C16" i="1"/>
  <c r="D18" i="1" s="1"/>
  <c r="O43" i="1"/>
  <c r="O29" i="1"/>
  <c r="O34" i="1"/>
  <c r="O39" i="1"/>
  <c r="O32" i="1"/>
  <c r="O40" i="1"/>
  <c r="C15" i="1"/>
  <c r="O21" i="1"/>
  <c r="O44" i="1"/>
  <c r="O42" i="1"/>
  <c r="O33" i="1"/>
  <c r="O45" i="1"/>
  <c r="O35" i="1"/>
  <c r="O27" i="1"/>
  <c r="O30" i="1"/>
  <c r="O41" i="1"/>
  <c r="O23" i="1"/>
  <c r="O36" i="1"/>
  <c r="O28" i="1"/>
  <c r="O22" i="1"/>
  <c r="O24" i="1"/>
  <c r="O37" i="1"/>
  <c r="O38" i="1"/>
  <c r="O31" i="1"/>
  <c r="O26" i="1"/>
  <c r="O25" i="1"/>
  <c r="C18" i="1" l="1"/>
  <c r="F18" i="1"/>
  <c r="F19" i="1" s="1"/>
</calcChain>
</file>

<file path=xl/sharedStrings.xml><?xml version="1.0" encoding="utf-8"?>
<sst xmlns="http://schemas.openxmlformats.org/spreadsheetml/2006/main" count="184" uniqueCount="106">
  <si>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</si>
  <si>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</si>
  <si>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</si>
  <si>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</si>
  <si>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</si>
  <si>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</si>
  <si>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</si>
  <si>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</si>
  <si>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</si>
  <si>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</si>
  <si>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</si>
  <si>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</si>
  <si>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</si>
  <si>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</si>
  <si>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</si>
  <si>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</si>
  <si>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</si>
  <si>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</si>
  <si>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</si>
  <si>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</si>
  <si>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</si>
  <si>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</si>
  <si>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</si>
  <si>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</si>
  <si>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</si>
  <si>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</si>
  <si>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</si>
  <si>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</si>
  <si>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</si>
  <si>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</si>
  <si>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</si>
  <si>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</si>
  <si>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</si>
  <si>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</si>
  <si>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</si>
  <si>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</si>
  <si>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</si>
  <si>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</si>
  <si>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</si>
  <si>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</si>
  <si>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EX CVn / GSC 3021-0057</t>
  </si>
  <si>
    <t>EW</t>
  </si>
  <si>
    <t>IBVS 6029</t>
  </si>
  <si>
    <t>II</t>
  </si>
  <si>
    <t>I</t>
  </si>
  <si>
    <t>VSX</t>
  </si>
  <si>
    <t>OEJV 0074</t>
  </si>
  <si>
    <t>IBVS 6048</t>
  </si>
  <si>
    <t>OEJV 0160</t>
  </si>
  <si>
    <t>IBVS 6094</t>
  </si>
  <si>
    <t>ii</t>
  </si>
  <si>
    <t>IBVS 6118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</si>
  <si>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</si>
  <si>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</si>
  <si>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</si>
  <si>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</si>
  <si>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</si>
  <si>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</si>
  <si>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</si>
  <si>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</si>
  <si>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</si>
  <si>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</si>
  <si>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</si>
  <si>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2455983.8236 </t>
  </si>
  <si>
    <t> 26.02.2012 07:45 </t>
  </si>
  <si>
    <t> -0.0001 </t>
  </si>
  <si>
    <t>C </t>
  </si>
  <si>
    <t> R.Diethelm </t>
  </si>
  <si>
    <t>IBVS 6029 </t>
  </si>
  <si>
    <t>2455983.9603 </t>
  </si>
  <si>
    <t> 26.02.2012 11:02 </t>
  </si>
  <si>
    <t> -0.0020 </t>
  </si>
  <si>
    <t>2456012.3698 </t>
  </si>
  <si>
    <t> 25.03.2012 20:52 </t>
  </si>
  <si>
    <t> -0.0011 </t>
  </si>
  <si>
    <t>-I</t>
  </si>
  <si>
    <t> F.Agerer </t>
  </si>
  <si>
    <t>BAVM 228 </t>
  </si>
  <si>
    <t>2456012.5111 </t>
  </si>
  <si>
    <t> 26.03.2012 00:15 </t>
  </si>
  <si>
    <t>5346</t>
  </si>
  <si>
    <t> 0.0016 </t>
  </si>
  <si>
    <t>2456012.6453 </t>
  </si>
  <si>
    <t> 26.03.2012 03:29 </t>
  </si>
  <si>
    <t>5346.5</t>
  </si>
  <si>
    <t> -0.0028 </t>
  </si>
  <si>
    <t>2456050.7542 </t>
  </si>
  <si>
    <t> 03.05.2012 06:06 </t>
  </si>
  <si>
    <t>5484</t>
  </si>
  <si>
    <t> -0.0030 </t>
  </si>
  <si>
    <t>2456305.6018 </t>
  </si>
  <si>
    <t> 13.01.2013 02:26 </t>
  </si>
  <si>
    <t>6403.5</t>
  </si>
  <si>
    <t> -0.0018 </t>
  </si>
  <si>
    <t> K. &amp; M.Rätz </t>
  </si>
  <si>
    <t>BAVM 234 </t>
  </si>
  <si>
    <t>2456395.4009 </t>
  </si>
  <si>
    <t> 12.04.2013 21:37 </t>
  </si>
  <si>
    <t>6727.5</t>
  </si>
  <si>
    <t> -0.0017 </t>
  </si>
  <si>
    <t> N.Ruocco </t>
  </si>
  <si>
    <t>IBVS 6094 </t>
  </si>
  <si>
    <t>OEJV 0179</t>
  </si>
  <si>
    <t>OEJV 0211</t>
  </si>
  <si>
    <t>JBAV, 60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</si>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</sst>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6" fillId="0" borderId="0"/>
    <xf numFmtId="0" fontId="16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18" fillId="0" borderId="0" xfId="0" applyFont="1" applyAlignment="1"/>
    <xf numFmtId="0" fontId="18" fillId="0" borderId="5" xfId="0" applyFont="1" applyBorder="1" applyAlignment="1"/>
    <xf numFmtId="0" fontId="9" fillId="24" borderId="5" xfId="0" applyFont="1" applyFill="1" applyBorder="1" applyAlignment="1"/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8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left" wrapText="1"/>
    </xf>
    <xf numFmtId="0" fontId="17" fillId="0" borderId="0" xfId="42" applyFont="1"/>
    <xf numFmtId="0" fontId="17" fillId="0" borderId="0" xfId="42" applyFont="1" applyAlignment="1">
      <alignment horizontal="center"/>
    </xf>
    <xf numFmtId="0" fontId="17" fillId="0" borderId="0" xfId="42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horizontal="left" vertical="center" wrapText="1"/>
    </xf>
    <xf numFmtId="165" fontId="5" fillId="0" borderId="0" xfId="42" applyNumberFormat="1" applyFont="1" applyAlignment="1">
      <alignment horizontal="left" wrapText="1"/>
    </xf>
    <xf numFmtId="165" fontId="17" fillId="0" borderId="0" xfId="42" applyNumberFormat="1" applyFont="1" applyAlignment="1">
      <alignment horizontal="left"/>
    </xf>
    <xf numFmtId="165" fontId="5" fillId="0" borderId="0" xfId="43" applyNumberFormat="1" applyFont="1" applyAlignment="1">
      <alignment horizontal="left" wrapText="1"/>
    </xf>
    <xf numFmtId="165" fontId="36" fillId="0" borderId="0" xfId="0" applyNumberFormat="1" applyFont="1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left"/>
    </xf>
    <xf numFmtId="0" fontId="9" fillId="0" borderId="5" xfId="0" applyFont="1" applyFill="1" applyBorder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EX CVn - O-C Diagr.</a:t>
            </a:r>
          </a:p>
        </c:rich>
      </c:tx>
      <c:layout>
        <c:manualLayout>
          <c:xMode val="edge"/>
          <c:yMode val="edge"/>
          <c:x val="0.3712876484498843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6458778843689"/>
          <c:y val="0.14035127795846455"/>
          <c:w val="0.80198149040437161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59-4443-9F29-64FBD25C81F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59-4443-9F29-64FBD25C81F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6">
                  <c:v>-0.13818496999738272</c:v>
                </c:pt>
                <c:pt idx="7">
                  <c:v>-0.13546596499509178</c:v>
                </c:pt>
                <c:pt idx="8">
                  <c:v>-0.13984696000261465</c:v>
                </c:pt>
                <c:pt idx="10">
                  <c:v>-0.14357038999878569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59-4443-9F29-64FBD25C81F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-6.8820615000731777E-2</c:v>
                </c:pt>
                <c:pt idx="1">
                  <c:v>-6.7909220000728965E-2</c:v>
                </c:pt>
                <c:pt idx="2">
                  <c:v>-7.0030214999860618E-2</c:v>
                </c:pt>
                <c:pt idx="3">
                  <c:v>-6.824274999962654E-2</c:v>
                </c:pt>
                <c:pt idx="4">
                  <c:v>-0.13669999999547144</c:v>
                </c:pt>
                <c:pt idx="5">
                  <c:v>-0.13858099500066601</c:v>
                </c:pt>
                <c:pt idx="9">
                  <c:v>-0.1407205849973252</c:v>
                </c:pt>
                <c:pt idx="11">
                  <c:v>-0.14495514999725856</c:v>
                </c:pt>
                <c:pt idx="12">
                  <c:v>-0.14420514999801526</c:v>
                </c:pt>
                <c:pt idx="13">
                  <c:v>-0.15448655999352923</c:v>
                </c:pt>
                <c:pt idx="14">
                  <c:v>-0.15636755499872379</c:v>
                </c:pt>
                <c:pt idx="15">
                  <c:v>-0.15929853999841725</c:v>
                </c:pt>
                <c:pt idx="16">
                  <c:v>-0.16777953499695286</c:v>
                </c:pt>
                <c:pt idx="17">
                  <c:v>-0.15921386000263738</c:v>
                </c:pt>
                <c:pt idx="18">
                  <c:v>-0.16221067499282071</c:v>
                </c:pt>
                <c:pt idx="19">
                  <c:v>-0.1596916699927533</c:v>
                </c:pt>
                <c:pt idx="20">
                  <c:v>-0.16218977500102483</c:v>
                </c:pt>
                <c:pt idx="21">
                  <c:v>-0.16137077000166755</c:v>
                </c:pt>
                <c:pt idx="22">
                  <c:v>-0.16711509989545448</c:v>
                </c:pt>
                <c:pt idx="23">
                  <c:v>-0.16800493999471655</c:v>
                </c:pt>
                <c:pt idx="24">
                  <c:v>-0.16728593500010902</c:v>
                </c:pt>
                <c:pt idx="25">
                  <c:v>-0.19469005500286585</c:v>
                </c:pt>
                <c:pt idx="26">
                  <c:v>-0.19627104999381118</c:v>
                </c:pt>
                <c:pt idx="27">
                  <c:v>-0.19323611999425339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59-4443-9F29-64FBD25C81F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59-4443-9F29-64FBD25C81F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59-4443-9F29-64FBD25C81F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1.1999999999999999E-3</c:v>
                  </c:pt>
                  <c:pt idx="1">
                    <c:v>2.5000000000000001E-3</c:v>
                  </c:pt>
                  <c:pt idx="2">
                    <c:v>2.5999999999999999E-3</c:v>
                  </c:pt>
                  <c:pt idx="3">
                    <c:v>1.6999999999999999E-3</c:v>
                  </c:pt>
                  <c:pt idx="4">
                    <c:v>5.9999999999999995E-4</c:v>
                  </c:pt>
                  <c:pt idx="5">
                    <c:v>5.9999999999999995E-4</c:v>
                  </c:pt>
                  <c:pt idx="6">
                    <c:v>8.9999999999999998E-4</c:v>
                  </c:pt>
                  <c:pt idx="7">
                    <c:v>1.2999999999999999E-3</c:v>
                  </c:pt>
                  <c:pt idx="8">
                    <c:v>1E-4</c:v>
                  </c:pt>
                  <c:pt idx="9">
                    <c:v>1.6000000000000001E-3</c:v>
                  </c:pt>
                  <c:pt idx="10">
                    <c:v>2.0000000000000001E-4</c:v>
                  </c:pt>
                  <c:pt idx="11">
                    <c:v>1.1999999999999999E-3</c:v>
                  </c:pt>
                  <c:pt idx="12">
                    <c:v>1.9E-3</c:v>
                  </c:pt>
                  <c:pt idx="13">
                    <c:v>2.2000000000000001E-3</c:v>
                  </c:pt>
                  <c:pt idx="14">
                    <c:v>1.2999999999999999E-3</c:v>
                  </c:pt>
                  <c:pt idx="15">
                    <c:v>2.5999999999999999E-3</c:v>
                  </c:pt>
                  <c:pt idx="16">
                    <c:v>2.5999999999999999E-3</c:v>
                  </c:pt>
                  <c:pt idx="17">
                    <c:v>8.0000000000000004E-4</c:v>
                  </c:pt>
                  <c:pt idx="18">
                    <c:v>1.5E-3</c:v>
                  </c:pt>
                  <c:pt idx="19">
                    <c:v>2.0000000000000001E-4</c:v>
                  </c:pt>
                  <c:pt idx="20">
                    <c:v>8.0000000000000004E-4</c:v>
                  </c:pt>
                  <c:pt idx="21">
                    <c:v>1.1000000000000001E-3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1.4E-3</c:v>
                  </c:pt>
                  <c:pt idx="25">
                    <c:v>1.9E-3</c:v>
                  </c:pt>
                  <c:pt idx="26">
                    <c:v>8.9999999999999998E-4</c:v>
                  </c:pt>
                  <c:pt idx="2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59-4443-9F29-64FBD25C81F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-6.9649239518418379E-2</c:v>
                </c:pt>
                <c:pt idx="1">
                  <c:v>-6.9834761456662606E-2</c:v>
                </c:pt>
                <c:pt idx="2">
                  <c:v>-6.9837109835627728E-2</c:v>
                </c:pt>
                <c:pt idx="3">
                  <c:v>-7.0055509079383585E-2</c:v>
                </c:pt>
                <c:pt idx="4">
                  <c:v>-0.13710172853347008</c:v>
                </c:pt>
                <c:pt idx="5">
                  <c:v>-0.1371040769124352</c:v>
                </c:pt>
                <c:pt idx="6">
                  <c:v>-0.13758549460028416</c:v>
                </c:pt>
                <c:pt idx="7">
                  <c:v>-0.13758784297924928</c:v>
                </c:pt>
                <c:pt idx="8">
                  <c:v>-0.13759019135821438</c:v>
                </c:pt>
                <c:pt idx="9">
                  <c:v>-0.13823599557362151</c:v>
                </c:pt>
                <c:pt idx="10">
                  <c:v>-0.14255466449047144</c:v>
                </c:pt>
                <c:pt idx="11">
                  <c:v>-0.14407641405986718</c:v>
                </c:pt>
                <c:pt idx="12">
                  <c:v>-0.14407641405986718</c:v>
                </c:pt>
                <c:pt idx="13">
                  <c:v>-0.15656509339635866</c:v>
                </c:pt>
                <c:pt idx="14">
                  <c:v>-0.15656744177532378</c:v>
                </c:pt>
                <c:pt idx="15">
                  <c:v>-0.16221059642849961</c:v>
                </c:pt>
                <c:pt idx="16">
                  <c:v>-0.1622129448074647</c:v>
                </c:pt>
                <c:pt idx="17">
                  <c:v>-0.16252997596775548</c:v>
                </c:pt>
                <c:pt idx="18">
                  <c:v>-0.16261686598946481</c:v>
                </c:pt>
                <c:pt idx="19">
                  <c:v>-0.16261921436842994</c:v>
                </c:pt>
                <c:pt idx="20">
                  <c:v>-0.16303957420318585</c:v>
                </c:pt>
                <c:pt idx="21">
                  <c:v>-0.16304192258215097</c:v>
                </c:pt>
                <c:pt idx="22">
                  <c:v>-0.16758368750068697</c:v>
                </c:pt>
                <c:pt idx="23">
                  <c:v>-0.16859818721361747</c:v>
                </c:pt>
                <c:pt idx="24">
                  <c:v>-0.16860053559258259</c:v>
                </c:pt>
                <c:pt idx="25">
                  <c:v>-0.19296731573463519</c:v>
                </c:pt>
                <c:pt idx="26">
                  <c:v>-0.19296966411360028</c:v>
                </c:pt>
                <c:pt idx="27">
                  <c:v>-0.19340646260111202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59-4443-9F29-64FBD25C81F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-14361.5</c:v>
                </c:pt>
                <c:pt idx="1">
                  <c:v>-14322</c:v>
                </c:pt>
                <c:pt idx="2">
                  <c:v>-14321.5</c:v>
                </c:pt>
                <c:pt idx="3">
                  <c:v>-14275</c:v>
                </c:pt>
                <c:pt idx="4">
                  <c:v>0</c:v>
                </c:pt>
                <c:pt idx="5">
                  <c:v>0.5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241.5</c:v>
                </c:pt>
                <c:pt idx="10">
                  <c:v>1161</c:v>
                </c:pt>
                <c:pt idx="11">
                  <c:v>1485</c:v>
                </c:pt>
                <c:pt idx="12">
                  <c:v>1485</c:v>
                </c:pt>
                <c:pt idx="13">
                  <c:v>4144</c:v>
                </c:pt>
                <c:pt idx="14">
                  <c:v>4144.5</c:v>
                </c:pt>
                <c:pt idx="15">
                  <c:v>5346</c:v>
                </c:pt>
                <c:pt idx="16">
                  <c:v>5346.5</c:v>
                </c:pt>
                <c:pt idx="17">
                  <c:v>5414</c:v>
                </c:pt>
                <c:pt idx="18">
                  <c:v>5432.5</c:v>
                </c:pt>
                <c:pt idx="19">
                  <c:v>5433</c:v>
                </c:pt>
                <c:pt idx="20">
                  <c:v>5522.5</c:v>
                </c:pt>
                <c:pt idx="21">
                  <c:v>5523</c:v>
                </c:pt>
                <c:pt idx="22">
                  <c:v>6490</c:v>
                </c:pt>
                <c:pt idx="23">
                  <c:v>6706</c:v>
                </c:pt>
                <c:pt idx="24">
                  <c:v>6706.5</c:v>
                </c:pt>
                <c:pt idx="25">
                  <c:v>11894.5</c:v>
                </c:pt>
                <c:pt idx="26">
                  <c:v>11895</c:v>
                </c:pt>
                <c:pt idx="27">
                  <c:v>11988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59-4443-9F29-64FBD25C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53568"/>
        <c:axId val="1"/>
      </c:scatterChart>
      <c:valAx>
        <c:axId val="79675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1031764593782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55115511551157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53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821816827352024"/>
          <c:y val="0.92397937099967764"/>
          <c:w val="0.7838295955579810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228600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72F81AB-A22E-67E1-B75F-F411DBAD7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6094" TargetMode="External"/><Relationship Id="rId3" Type="http://schemas.openxmlformats.org/officeDocument/2006/relationships/hyperlink" Target="http://www.bav-astro.de/sfs/BAVM_link.php?BAVMnr=228" TargetMode="External"/><Relationship Id="rId7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konkoly.hu/cgi-bin/IBVS?6029" TargetMode="External"/><Relationship Id="rId1" Type="http://schemas.openxmlformats.org/officeDocument/2006/relationships/hyperlink" Target="http://www.konkoly.hu/cgi-bin/IBVS?6029" TargetMode="External"/><Relationship Id="rId6" Type="http://schemas.openxmlformats.org/officeDocument/2006/relationships/hyperlink" Target="http://www.konkoly.hu/cgi-bin/IBVS?6029" TargetMode="External"/><Relationship Id="rId5" Type="http://schemas.openxmlformats.org/officeDocument/2006/relationships/hyperlink" Target="http://www.bav-astro.de/sfs/BAVM_link.php?BAVMnr=228" TargetMode="External"/><Relationship Id="rId4" Type="http://schemas.openxmlformats.org/officeDocument/2006/relationships/hyperlink" Target="http://www.bav-astro.de/sfs/BAVM_link.php?BAVMnr=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37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140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6" ht="20.25" x14ac:dyDescent="0.3">
      <c r="A1" s="1" t="s">
        <v>40</v>
      </c>
    </row>
    <row r="2" spans="1:6" x14ac:dyDescent="0.2">
      <c r="A2" t="s">
        <v>25</v>
      </c>
      <c r="B2" s="29" t="s">
        <v>41</v>
      </c>
      <c r="C2" s="3"/>
      <c r="D2" s="3"/>
    </row>
    <row r="3" spans="1:6" ht="13.5" thickBot="1" x14ac:dyDescent="0.25"/>
    <row r="4" spans="1:6" ht="14.25" thickTop="1" thickBot="1" x14ac:dyDescent="0.25">
      <c r="A4" s="5" t="s">
        <v>2</v>
      </c>
      <c r="C4" s="27" t="s">
        <v>39</v>
      </c>
      <c r="D4" s="28" t="s">
        <v>39</v>
      </c>
    </row>
    <row r="5" spans="1:6" ht="13.5" thickTop="1" x14ac:dyDescent="0.2">
      <c r="A5" s="9" t="s">
        <v>30</v>
      </c>
      <c r="B5" s="10"/>
      <c r="C5" s="11">
        <v>-9.5</v>
      </c>
      <c r="D5" s="10" t="s">
        <v>31</v>
      </c>
    </row>
    <row r="6" spans="1:6" x14ac:dyDescent="0.2">
      <c r="A6" s="5" t="s">
        <v>3</v>
      </c>
    </row>
    <row r="7" spans="1:6" x14ac:dyDescent="0.2">
      <c r="A7" t="s">
        <v>4</v>
      </c>
      <c r="C7" s="30">
        <v>55983.960299999999</v>
      </c>
      <c r="D7" s="8" t="s">
        <v>45</v>
      </c>
    </row>
    <row r="8" spans="1:6" x14ac:dyDescent="0.2">
      <c r="A8" t="s">
        <v>5</v>
      </c>
      <c r="C8" s="8">
        <v>0.27716199000000002</v>
      </c>
      <c r="D8" s="8" t="s">
        <v>45</v>
      </c>
    </row>
    <row r="9" spans="1:6" x14ac:dyDescent="0.2">
      <c r="A9" s="24" t="s">
        <v>34</v>
      </c>
      <c r="B9" s="25">
        <v>25</v>
      </c>
      <c r="C9" s="22" t="str">
        <f>"F"&amp;B9</f>
        <v>F25</v>
      </c>
      <c r="D9" s="23" t="str">
        <f>"G"&amp;B9</f>
        <v>G25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17</v>
      </c>
      <c r="B11" s="10"/>
      <c r="C11" s="21">
        <f ca="1">INTERCEPT(INDIRECT($D$9):G991,INDIRECT($C$9):F991)</f>
        <v>-0.13710172853347008</v>
      </c>
      <c r="D11" s="3"/>
      <c r="E11" s="10"/>
    </row>
    <row r="12" spans="1:6" x14ac:dyDescent="0.2">
      <c r="A12" s="10" t="s">
        <v>18</v>
      </c>
      <c r="B12" s="10"/>
      <c r="C12" s="21">
        <f ca="1">SLOPE(INDIRECT($D$9):G991,INDIRECT($C$9):F991)</f>
        <v>-4.6967579302337296E-6</v>
      </c>
      <c r="D12" s="3"/>
      <c r="E12" s="10"/>
    </row>
    <row r="13" spans="1:6" x14ac:dyDescent="0.2">
      <c r="A13" s="10" t="s">
        <v>20</v>
      </c>
      <c r="B13" s="10"/>
      <c r="C13" s="3" t="s">
        <v>15</v>
      </c>
    </row>
    <row r="14" spans="1:6" x14ac:dyDescent="0.2">
      <c r="A14" s="10"/>
      <c r="B14" s="10"/>
      <c r="C14" s="10"/>
    </row>
    <row r="15" spans="1:6" x14ac:dyDescent="0.2">
      <c r="A15" s="12" t="s">
        <v>19</v>
      </c>
      <c r="B15" s="10"/>
      <c r="C15" s="13">
        <f ca="1">(C7+C11)+(C8+C12)*INT(MAX(F21:F3532))</f>
        <v>59306.3848296574</v>
      </c>
      <c r="E15" s="14" t="s">
        <v>36</v>
      </c>
      <c r="F15" s="11">
        <v>1</v>
      </c>
    </row>
    <row r="16" spans="1:6" x14ac:dyDescent="0.2">
      <c r="A16" s="16" t="s">
        <v>6</v>
      </c>
      <c r="B16" s="10"/>
      <c r="C16" s="17">
        <f ca="1">+C8+C12</f>
        <v>0.27715729324206978</v>
      </c>
      <c r="E16" s="14" t="s">
        <v>32</v>
      </c>
      <c r="F16" s="15">
        <f ca="1">NOW()+15018.5+$C$5/24</f>
        <v>60170.763652430556</v>
      </c>
    </row>
    <row r="17" spans="1:21" ht="13.5" thickBot="1" x14ac:dyDescent="0.25">
      <c r="A17" s="14" t="s">
        <v>29</v>
      </c>
      <c r="B17" s="10"/>
      <c r="C17" s="10">
        <f>COUNT(C21:C2190)</f>
        <v>28</v>
      </c>
      <c r="E17" s="14" t="s">
        <v>37</v>
      </c>
      <c r="F17" s="15">
        <f ca="1">ROUND(2*(F16-$C$7)/$C$8,0)/2+F15</f>
        <v>15107</v>
      </c>
    </row>
    <row r="18" spans="1:21" ht="14.25" thickTop="1" thickBot="1" x14ac:dyDescent="0.25">
      <c r="A18" s="16" t="s">
        <v>7</v>
      </c>
      <c r="B18" s="10"/>
      <c r="C18" s="19">
        <f ca="1">+C15</f>
        <v>59306.3848296574</v>
      </c>
      <c r="D18" s="20">
        <f ca="1">+C16</f>
        <v>0.27715729324206978</v>
      </c>
      <c r="E18" s="14" t="s">
        <v>38</v>
      </c>
      <c r="F18" s="23">
        <f ca="1">ROUND(2*(F16-$C$15)/$C$16,0)/2+F15</f>
        <v>3119.5</v>
      </c>
    </row>
    <row r="19" spans="1:21" ht="13.5" thickTop="1" x14ac:dyDescent="0.2">
      <c r="E19" s="14" t="s">
        <v>33</v>
      </c>
      <c r="F19" s="18">
        <f ca="1">+$C$15+$C$16*F18-15018.5-$C$5/24</f>
        <v>45152.872839259369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59</v>
      </c>
      <c r="I20" s="7" t="s">
        <v>62</v>
      </c>
      <c r="J20" s="7" t="s">
        <v>56</v>
      </c>
      <c r="K20" s="7" t="s">
        <v>54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R20" s="4"/>
      <c r="S20" s="4"/>
      <c r="T20" s="4"/>
      <c r="U20" s="26" t="s">
        <v>35</v>
      </c>
    </row>
    <row r="21" spans="1:21" x14ac:dyDescent="0.2">
      <c r="A21" s="33" t="s">
        <v>46</v>
      </c>
      <c r="B21" s="34" t="s">
        <v>44</v>
      </c>
      <c r="C21" s="33">
        <v>52003.429559999997</v>
      </c>
      <c r="D21" s="33">
        <v>1.1999999999999999E-3</v>
      </c>
      <c r="E21">
        <f t="shared" ref="E21:E32" si="0">+(C21-C$7)/C$8</f>
        <v>-14361.748304664725</v>
      </c>
      <c r="F21" s="36">
        <f>ROUND(2*E21,0)/2</f>
        <v>-14361.5</v>
      </c>
      <c r="G21">
        <f t="shared" ref="G21:G32" si="1">+C21-(C$7+F21*C$8)</f>
        <v>-6.8820615000731777E-2</v>
      </c>
      <c r="K21">
        <f t="shared" ref="K21:K26" si="2">+G21</f>
        <v>-6.8820615000731777E-2</v>
      </c>
      <c r="O21">
        <f t="shared" ref="O21:O32" ca="1" si="3">+C$11+C$12*$F21</f>
        <v>-6.9649239518418379E-2</v>
      </c>
      <c r="Q21" s="2">
        <f t="shared" ref="Q21:Q32" si="4">+C21-15018.5</f>
        <v>36984.929559999997</v>
      </c>
      <c r="R21" s="2"/>
      <c r="S21" s="2"/>
      <c r="T21" s="2"/>
    </row>
    <row r="22" spans="1:21" x14ac:dyDescent="0.2">
      <c r="A22" s="33" t="s">
        <v>46</v>
      </c>
      <c r="B22" s="34" t="s">
        <v>44</v>
      </c>
      <c r="C22" s="33">
        <v>52014.378369999999</v>
      </c>
      <c r="D22" s="33">
        <v>2.5000000000000001E-3</v>
      </c>
      <c r="E22">
        <f t="shared" si="0"/>
        <v>-14322.245016353072</v>
      </c>
      <c r="F22" s="37">
        <f>ROUND(2*E22,0)/2</f>
        <v>-14322</v>
      </c>
      <c r="G22">
        <f t="shared" si="1"/>
        <v>-6.7909220000728965E-2</v>
      </c>
      <c r="K22">
        <f t="shared" si="2"/>
        <v>-6.7909220000728965E-2</v>
      </c>
      <c r="O22">
        <f t="shared" ca="1" si="3"/>
        <v>-6.9834761456662606E-2</v>
      </c>
      <c r="Q22" s="2">
        <f t="shared" si="4"/>
        <v>36995.878369999999</v>
      </c>
      <c r="R22" s="2"/>
      <c r="S22" s="2"/>
      <c r="T22" s="2"/>
    </row>
    <row r="23" spans="1:21" x14ac:dyDescent="0.2">
      <c r="A23" s="33" t="s">
        <v>46</v>
      </c>
      <c r="B23" s="34" t="s">
        <v>44</v>
      </c>
      <c r="C23" s="33">
        <v>52014.51483</v>
      </c>
      <c r="D23" s="33">
        <v>2.5999999999999999E-3</v>
      </c>
      <c r="E23">
        <f t="shared" si="0"/>
        <v>-14321.752668899508</v>
      </c>
      <c r="F23" s="38">
        <f>ROUND(2*E23,0)/2+0.5</f>
        <v>-14321.5</v>
      </c>
      <c r="G23">
        <f t="shared" si="1"/>
        <v>-7.0030214999860618E-2</v>
      </c>
      <c r="K23">
        <f t="shared" si="2"/>
        <v>-7.0030214999860618E-2</v>
      </c>
      <c r="O23">
        <f t="shared" ca="1" si="3"/>
        <v>-6.9837109835627728E-2</v>
      </c>
      <c r="Q23" s="2">
        <f t="shared" si="4"/>
        <v>36996.01483</v>
      </c>
      <c r="R23" s="2"/>
      <c r="S23" s="2"/>
      <c r="T23" s="2"/>
    </row>
    <row r="24" spans="1:21" x14ac:dyDescent="0.2">
      <c r="A24" s="33" t="s">
        <v>46</v>
      </c>
      <c r="B24" s="34" t="s">
        <v>44</v>
      </c>
      <c r="C24" s="33">
        <v>52027.404649999997</v>
      </c>
      <c r="D24" s="33">
        <v>1.6999999999999999E-3</v>
      </c>
      <c r="E24">
        <f t="shared" si="0"/>
        <v>-14275.246219728764</v>
      </c>
      <c r="F24" s="37">
        <f>ROUND(2*E24,0)/2</f>
        <v>-14275</v>
      </c>
      <c r="G24">
        <f t="shared" si="1"/>
        <v>-6.824274999962654E-2</v>
      </c>
      <c r="K24">
        <f t="shared" si="2"/>
        <v>-6.824274999962654E-2</v>
      </c>
      <c r="O24">
        <f t="shared" ca="1" si="3"/>
        <v>-7.0055509079383585E-2</v>
      </c>
      <c r="Q24" s="2">
        <f t="shared" si="4"/>
        <v>37008.904649999997</v>
      </c>
      <c r="R24" s="2"/>
      <c r="S24" s="2"/>
      <c r="T24" s="2"/>
    </row>
    <row r="25" spans="1:21" x14ac:dyDescent="0.2">
      <c r="A25" s="31" t="s">
        <v>42</v>
      </c>
      <c r="B25" s="32" t="s">
        <v>43</v>
      </c>
      <c r="C25" s="31">
        <v>55983.823600000003</v>
      </c>
      <c r="D25" s="31">
        <v>5.9999999999999995E-4</v>
      </c>
      <c r="E25">
        <f t="shared" si="0"/>
        <v>-0.49321337314496633</v>
      </c>
      <c r="F25" s="38">
        <f t="shared" ref="F25:F45" si="5">ROUND(2*E25,0)/2+0.5</f>
        <v>0</v>
      </c>
      <c r="G25">
        <f t="shared" si="1"/>
        <v>-0.13669999999547144</v>
      </c>
      <c r="K25">
        <f t="shared" si="2"/>
        <v>-0.13669999999547144</v>
      </c>
      <c r="O25">
        <f t="shared" ca="1" si="3"/>
        <v>-0.13710172853347008</v>
      </c>
      <c r="Q25" s="2">
        <f t="shared" si="4"/>
        <v>40965.323600000003</v>
      </c>
      <c r="R25" s="2"/>
      <c r="S25" s="2"/>
      <c r="T25" s="2"/>
    </row>
    <row r="26" spans="1:21" x14ac:dyDescent="0.2">
      <c r="A26" s="31" t="s">
        <v>42</v>
      </c>
      <c r="B26" s="32" t="s">
        <v>44</v>
      </c>
      <c r="C26" s="31">
        <v>55983.960299999999</v>
      </c>
      <c r="D26" s="31">
        <v>5.9999999999999995E-4</v>
      </c>
      <c r="E26">
        <f t="shared" si="0"/>
        <v>0</v>
      </c>
      <c r="F26" s="38">
        <f t="shared" si="5"/>
        <v>0.5</v>
      </c>
      <c r="G26">
        <f t="shared" si="1"/>
        <v>-0.13858099500066601</v>
      </c>
      <c r="K26">
        <f t="shared" si="2"/>
        <v>-0.13858099500066601</v>
      </c>
      <c r="O26">
        <f t="shared" ca="1" si="3"/>
        <v>-0.1371040769124352</v>
      </c>
      <c r="Q26" s="2">
        <f t="shared" si="4"/>
        <v>40965.460299999999</v>
      </c>
      <c r="R26" s="2"/>
      <c r="S26" s="2"/>
      <c r="T26" s="2"/>
    </row>
    <row r="27" spans="1:21" x14ac:dyDescent="0.2">
      <c r="A27" s="35" t="s">
        <v>47</v>
      </c>
      <c r="B27" s="32" t="s">
        <v>44</v>
      </c>
      <c r="C27" s="31">
        <v>56012.3698</v>
      </c>
      <c r="D27" s="31">
        <v>8.9999999999999998E-4</v>
      </c>
      <c r="E27">
        <f t="shared" si="0"/>
        <v>102.5014288575485</v>
      </c>
      <c r="F27" s="38">
        <f t="shared" si="5"/>
        <v>103</v>
      </c>
      <c r="G27">
        <f t="shared" si="1"/>
        <v>-0.13818496999738272</v>
      </c>
      <c r="J27">
        <f>+G27</f>
        <v>-0.13818496999738272</v>
      </c>
      <c r="O27">
        <f t="shared" ca="1" si="3"/>
        <v>-0.13758549460028416</v>
      </c>
      <c r="Q27" s="2">
        <f t="shared" si="4"/>
        <v>40993.8698</v>
      </c>
      <c r="R27" s="2"/>
      <c r="S27" s="2"/>
      <c r="T27" s="2"/>
    </row>
    <row r="28" spans="1:21" x14ac:dyDescent="0.2">
      <c r="A28" s="35" t="s">
        <v>47</v>
      </c>
      <c r="B28" s="32" t="s">
        <v>43</v>
      </c>
      <c r="C28" s="31">
        <v>56012.511100000003</v>
      </c>
      <c r="D28" s="31">
        <v>1.2999999999999999E-3</v>
      </c>
      <c r="E28">
        <f t="shared" si="0"/>
        <v>103.01123902308728</v>
      </c>
      <c r="F28" s="38">
        <f t="shared" si="5"/>
        <v>103.5</v>
      </c>
      <c r="G28">
        <f t="shared" si="1"/>
        <v>-0.13546596499509178</v>
      </c>
      <c r="J28">
        <f>+G28</f>
        <v>-0.13546596499509178</v>
      </c>
      <c r="O28">
        <f t="shared" ca="1" si="3"/>
        <v>-0.13758784297924928</v>
      </c>
      <c r="Q28" s="2">
        <f t="shared" si="4"/>
        <v>40994.011100000003</v>
      </c>
      <c r="R28" s="2"/>
      <c r="S28" s="2"/>
      <c r="T28" s="2"/>
    </row>
    <row r="29" spans="1:21" x14ac:dyDescent="0.2">
      <c r="A29" s="35" t="s">
        <v>47</v>
      </c>
      <c r="B29" s="32" t="s">
        <v>44</v>
      </c>
      <c r="C29" s="31">
        <v>56012.645299999996</v>
      </c>
      <c r="D29" s="31">
        <v>1E-4</v>
      </c>
      <c r="E29">
        <f t="shared" si="0"/>
        <v>103.49543240037232</v>
      </c>
      <c r="F29" s="38">
        <f t="shared" si="5"/>
        <v>104</v>
      </c>
      <c r="G29">
        <f t="shared" si="1"/>
        <v>-0.13984696000261465</v>
      </c>
      <c r="J29">
        <f>+G29</f>
        <v>-0.13984696000261465</v>
      </c>
      <c r="O29">
        <f t="shared" ca="1" si="3"/>
        <v>-0.13759019135821438</v>
      </c>
      <c r="Q29" s="2">
        <f t="shared" si="4"/>
        <v>40994.145299999996</v>
      </c>
      <c r="R29" s="2"/>
      <c r="S29" s="2"/>
      <c r="T29" s="2"/>
    </row>
    <row r="30" spans="1:21" x14ac:dyDescent="0.2">
      <c r="A30" s="31" t="s">
        <v>42</v>
      </c>
      <c r="B30" s="32" t="s">
        <v>44</v>
      </c>
      <c r="C30" s="31">
        <v>56050.754200000003</v>
      </c>
      <c r="D30" s="31">
        <v>1.6000000000000001E-3</v>
      </c>
      <c r="E30">
        <f t="shared" si="0"/>
        <v>240.99228036284561</v>
      </c>
      <c r="F30" s="38">
        <f t="shared" si="5"/>
        <v>241.5</v>
      </c>
      <c r="G30">
        <f t="shared" si="1"/>
        <v>-0.1407205849973252</v>
      </c>
      <c r="K30">
        <f>+G30</f>
        <v>-0.1407205849973252</v>
      </c>
      <c r="O30">
        <f t="shared" ca="1" si="3"/>
        <v>-0.13823599557362151</v>
      </c>
      <c r="Q30" s="2">
        <f t="shared" si="4"/>
        <v>41032.254200000003</v>
      </c>
      <c r="R30" s="2"/>
      <c r="S30" s="2"/>
      <c r="T30" s="2"/>
    </row>
    <row r="31" spans="1:21" x14ac:dyDescent="0.2">
      <c r="A31" s="52" t="s">
        <v>51</v>
      </c>
      <c r="B31" s="53" t="s">
        <v>44</v>
      </c>
      <c r="C31" s="31">
        <v>56305.601799999997</v>
      </c>
      <c r="D31" s="54">
        <v>2.0000000000000001E-4</v>
      </c>
      <c r="E31">
        <f t="shared" si="0"/>
        <v>1160.4819982711117</v>
      </c>
      <c r="F31" s="38">
        <f t="shared" si="5"/>
        <v>1161</v>
      </c>
      <c r="G31">
        <f t="shared" si="1"/>
        <v>-0.14357038999878569</v>
      </c>
      <c r="J31">
        <f>+G31</f>
        <v>-0.14357038999878569</v>
      </c>
      <c r="O31">
        <f t="shared" ca="1" si="3"/>
        <v>-0.14255466449047144</v>
      </c>
      <c r="Q31" s="2">
        <f t="shared" si="4"/>
        <v>41287.101799999997</v>
      </c>
      <c r="R31" s="2"/>
      <c r="S31" s="2"/>
      <c r="T31" s="2"/>
    </row>
    <row r="32" spans="1:21" x14ac:dyDescent="0.2">
      <c r="A32" s="52" t="s">
        <v>49</v>
      </c>
      <c r="B32" s="53" t="s">
        <v>50</v>
      </c>
      <c r="C32" s="54">
        <v>56395.400900000001</v>
      </c>
      <c r="D32" s="54">
        <v>1.1999999999999999E-3</v>
      </c>
      <c r="E32">
        <f t="shared" si="0"/>
        <v>1484.4770020593432</v>
      </c>
      <c r="F32" s="38">
        <f t="shared" si="5"/>
        <v>1485</v>
      </c>
      <c r="G32">
        <f t="shared" si="1"/>
        <v>-0.14495514999725856</v>
      </c>
      <c r="K32">
        <f t="shared" ref="K32:K45" si="6">+G32</f>
        <v>-0.14495514999725856</v>
      </c>
      <c r="O32">
        <f t="shared" ca="1" si="3"/>
        <v>-0.14407641405986718</v>
      </c>
      <c r="Q32" s="2">
        <f t="shared" si="4"/>
        <v>41376.900900000001</v>
      </c>
      <c r="R32" s="2"/>
      <c r="S32" s="2"/>
      <c r="T32" s="2"/>
    </row>
    <row r="33" spans="1:20" x14ac:dyDescent="0.2">
      <c r="A33" s="35" t="s">
        <v>48</v>
      </c>
      <c r="B33" s="32" t="s">
        <v>44</v>
      </c>
      <c r="C33" s="31">
        <v>56395.40165</v>
      </c>
      <c r="D33" s="31">
        <v>1.9E-3</v>
      </c>
      <c r="E33">
        <f t="shared" ref="E33:E45" si="7">+(C33-C$7)/C$8</f>
        <v>1484.4797080580961</v>
      </c>
      <c r="F33" s="38">
        <f t="shared" si="5"/>
        <v>1485</v>
      </c>
      <c r="G33">
        <f t="shared" ref="G33:G45" si="8">+C33-(C$7+F33*C$8)</f>
        <v>-0.14420514999801526</v>
      </c>
      <c r="K33">
        <f t="shared" si="6"/>
        <v>-0.14420514999801526</v>
      </c>
      <c r="O33">
        <f t="shared" ref="O33:O45" ca="1" si="9">+C$11+C$12*$F33</f>
        <v>-0.14407641405986718</v>
      </c>
      <c r="Q33" s="2">
        <f t="shared" ref="Q33:Q45" si="10">+C33-15018.5</f>
        <v>41376.90165</v>
      </c>
      <c r="R33" s="2"/>
      <c r="S33" s="2"/>
      <c r="T33" s="2"/>
    </row>
    <row r="34" spans="1:20" x14ac:dyDescent="0.2">
      <c r="A34" s="55" t="s">
        <v>1</v>
      </c>
      <c r="B34" s="56" t="s">
        <v>44</v>
      </c>
      <c r="C34" s="57">
        <v>57132.365100000003</v>
      </c>
      <c r="D34" s="57">
        <v>2.2000000000000001E-3</v>
      </c>
      <c r="E34">
        <f t="shared" si="7"/>
        <v>4143.4426127478873</v>
      </c>
      <c r="F34" s="38">
        <f t="shared" si="5"/>
        <v>4144</v>
      </c>
      <c r="G34">
        <f t="shared" si="8"/>
        <v>-0.15448655999352923</v>
      </c>
      <c r="K34">
        <f t="shared" si="6"/>
        <v>-0.15448655999352923</v>
      </c>
      <c r="O34">
        <f t="shared" ca="1" si="9"/>
        <v>-0.15656509339635866</v>
      </c>
      <c r="Q34" s="2">
        <f t="shared" si="10"/>
        <v>42113.865100000003</v>
      </c>
    </row>
    <row r="35" spans="1:20" x14ac:dyDescent="0.2">
      <c r="A35" s="55" t="s">
        <v>1</v>
      </c>
      <c r="B35" s="56" t="s">
        <v>44</v>
      </c>
      <c r="C35" s="57">
        <v>57132.501799999998</v>
      </c>
      <c r="D35" s="57">
        <v>1.2999999999999999E-3</v>
      </c>
      <c r="E35">
        <f t="shared" si="7"/>
        <v>4143.9358261210318</v>
      </c>
      <c r="F35" s="38">
        <f t="shared" si="5"/>
        <v>4144.5</v>
      </c>
      <c r="G35">
        <f t="shared" si="8"/>
        <v>-0.15636755499872379</v>
      </c>
      <c r="K35">
        <f t="shared" si="6"/>
        <v>-0.15636755499872379</v>
      </c>
      <c r="O35">
        <f t="shared" ca="1" si="9"/>
        <v>-0.15656744177532378</v>
      </c>
      <c r="Q35" s="2">
        <f t="shared" si="10"/>
        <v>42114.001799999998</v>
      </c>
    </row>
    <row r="36" spans="1:20" x14ac:dyDescent="0.2">
      <c r="A36" s="55" t="s">
        <v>1</v>
      </c>
      <c r="B36" s="56" t="s">
        <v>44</v>
      </c>
      <c r="C36" s="57">
        <v>57465.508999999998</v>
      </c>
      <c r="D36" s="57">
        <v>2.5999999999999999E-3</v>
      </c>
      <c r="E36">
        <f t="shared" si="7"/>
        <v>5345.4252511320155</v>
      </c>
      <c r="F36" s="38">
        <f t="shared" si="5"/>
        <v>5346</v>
      </c>
      <c r="G36">
        <f t="shared" si="8"/>
        <v>-0.15929853999841725</v>
      </c>
      <c r="K36">
        <f t="shared" si="6"/>
        <v>-0.15929853999841725</v>
      </c>
      <c r="O36">
        <f t="shared" ca="1" si="9"/>
        <v>-0.16221059642849961</v>
      </c>
      <c r="Q36" s="2">
        <f t="shared" si="10"/>
        <v>42447.008999999998</v>
      </c>
    </row>
    <row r="37" spans="1:20" x14ac:dyDescent="0.2">
      <c r="A37" s="55" t="s">
        <v>1</v>
      </c>
      <c r="B37" s="56" t="s">
        <v>44</v>
      </c>
      <c r="C37" s="57">
        <v>57465.6391</v>
      </c>
      <c r="D37" s="57">
        <v>2.5999999999999999E-3</v>
      </c>
      <c r="E37">
        <f t="shared" si="7"/>
        <v>5345.8946517161367</v>
      </c>
      <c r="F37" s="38">
        <f t="shared" si="5"/>
        <v>5346.5</v>
      </c>
      <c r="G37">
        <f t="shared" si="8"/>
        <v>-0.16777953499695286</v>
      </c>
      <c r="K37">
        <f t="shared" si="6"/>
        <v>-0.16777953499695286</v>
      </c>
      <c r="O37">
        <f t="shared" ca="1" si="9"/>
        <v>-0.1622129448074647</v>
      </c>
      <c r="Q37" s="2">
        <f t="shared" si="10"/>
        <v>42447.1391</v>
      </c>
    </row>
    <row r="38" spans="1:20" x14ac:dyDescent="0.2">
      <c r="A38" s="58" t="s">
        <v>102</v>
      </c>
      <c r="B38" s="59" t="s">
        <v>44</v>
      </c>
      <c r="C38" s="60">
        <v>57484.356099999997</v>
      </c>
      <c r="D38" s="60">
        <v>8.0000000000000004E-4</v>
      </c>
      <c r="E38">
        <f t="shared" si="7"/>
        <v>5413.425556657312</v>
      </c>
      <c r="F38" s="38">
        <f t="shared" si="5"/>
        <v>5414</v>
      </c>
      <c r="G38">
        <f t="shared" si="8"/>
        <v>-0.15921386000263738</v>
      </c>
      <c r="K38">
        <f t="shared" si="6"/>
        <v>-0.15921386000263738</v>
      </c>
      <c r="O38">
        <f t="shared" ca="1" si="9"/>
        <v>-0.16252997596775548</v>
      </c>
      <c r="Q38" s="2">
        <f t="shared" si="10"/>
        <v>42465.856099999997</v>
      </c>
    </row>
    <row r="39" spans="1:20" x14ac:dyDescent="0.2">
      <c r="A39" s="55" t="s">
        <v>1</v>
      </c>
      <c r="B39" s="56" t="s">
        <v>44</v>
      </c>
      <c r="C39" s="57">
        <v>57489.480600000003</v>
      </c>
      <c r="D39" s="57">
        <v>1.5E-3</v>
      </c>
      <c r="E39">
        <f t="shared" si="7"/>
        <v>5431.9147441537843</v>
      </c>
      <c r="F39" s="38">
        <f t="shared" si="5"/>
        <v>5432.5</v>
      </c>
      <c r="G39">
        <f t="shared" si="8"/>
        <v>-0.16221067499282071</v>
      </c>
      <c r="K39">
        <f t="shared" si="6"/>
        <v>-0.16221067499282071</v>
      </c>
      <c r="O39">
        <f t="shared" ca="1" si="9"/>
        <v>-0.16261686598946481</v>
      </c>
      <c r="Q39" s="2">
        <f t="shared" si="10"/>
        <v>42470.980600000003</v>
      </c>
    </row>
    <row r="40" spans="1:20" x14ac:dyDescent="0.2">
      <c r="A40" s="55" t="s">
        <v>1</v>
      </c>
      <c r="B40" s="56" t="s">
        <v>44</v>
      </c>
      <c r="C40" s="57">
        <v>57489.621700000003</v>
      </c>
      <c r="D40" s="57">
        <v>2.0000000000000001E-4</v>
      </c>
      <c r="E40">
        <f t="shared" si="7"/>
        <v>5432.4238327196463</v>
      </c>
      <c r="F40" s="38">
        <f t="shared" si="5"/>
        <v>5433</v>
      </c>
      <c r="G40">
        <f t="shared" si="8"/>
        <v>-0.1596916699927533</v>
      </c>
      <c r="K40">
        <f t="shared" si="6"/>
        <v>-0.1596916699927533</v>
      </c>
      <c r="O40">
        <f t="shared" ca="1" si="9"/>
        <v>-0.16261921436842994</v>
      </c>
      <c r="Q40" s="2">
        <f t="shared" si="10"/>
        <v>42471.121700000003</v>
      </c>
    </row>
    <row r="41" spans="1:20" x14ac:dyDescent="0.2">
      <c r="A41" s="55" t="s">
        <v>1</v>
      </c>
      <c r="B41" s="56" t="s">
        <v>44</v>
      </c>
      <c r="C41" s="68">
        <v>57514.425199999998</v>
      </c>
      <c r="D41" s="57">
        <v>8.0000000000000004E-4</v>
      </c>
      <c r="E41">
        <f t="shared" si="7"/>
        <v>5521.9148195609323</v>
      </c>
      <c r="F41" s="38">
        <f t="shared" si="5"/>
        <v>5522.5</v>
      </c>
      <c r="G41">
        <f t="shared" si="8"/>
        <v>-0.16218977500102483</v>
      </c>
      <c r="K41">
        <f t="shared" si="6"/>
        <v>-0.16218977500102483</v>
      </c>
      <c r="O41">
        <f t="shared" ca="1" si="9"/>
        <v>-0.16303957420318585</v>
      </c>
      <c r="Q41" s="2">
        <f t="shared" si="10"/>
        <v>42495.925199999998</v>
      </c>
    </row>
    <row r="42" spans="1:20" x14ac:dyDescent="0.2">
      <c r="A42" s="55" t="s">
        <v>1</v>
      </c>
      <c r="B42" s="56" t="s">
        <v>44</v>
      </c>
      <c r="C42" s="68">
        <v>57514.564599999998</v>
      </c>
      <c r="D42" s="57">
        <v>1.1000000000000001E-3</v>
      </c>
      <c r="E42">
        <f t="shared" si="7"/>
        <v>5522.4177745296129</v>
      </c>
      <c r="F42" s="38">
        <f t="shared" si="5"/>
        <v>5523</v>
      </c>
      <c r="G42">
        <f t="shared" si="8"/>
        <v>-0.16137077000166755</v>
      </c>
      <c r="K42">
        <f t="shared" si="6"/>
        <v>-0.16137077000166755</v>
      </c>
      <c r="O42">
        <f t="shared" ca="1" si="9"/>
        <v>-0.16304192258215097</v>
      </c>
      <c r="Q42" s="2">
        <f t="shared" si="10"/>
        <v>42496.064599999998</v>
      </c>
    </row>
    <row r="43" spans="1:20" x14ac:dyDescent="0.2">
      <c r="A43" s="62" t="s">
        <v>103</v>
      </c>
      <c r="B43" s="63" t="s">
        <v>44</v>
      </c>
      <c r="C43" s="69">
        <v>57782.574500000104</v>
      </c>
      <c r="D43" s="64">
        <v>5.9999999999999995E-4</v>
      </c>
      <c r="E43">
        <f t="shared" si="7"/>
        <v>6489.3970489968897</v>
      </c>
      <c r="F43" s="38">
        <f t="shared" si="5"/>
        <v>6490</v>
      </c>
      <c r="G43">
        <f t="shared" si="8"/>
        <v>-0.16711509989545448</v>
      </c>
      <c r="K43">
        <f t="shared" si="6"/>
        <v>-0.16711509989545448</v>
      </c>
      <c r="O43">
        <f t="shared" ca="1" si="9"/>
        <v>-0.16758368750068697</v>
      </c>
      <c r="Q43" s="2">
        <f t="shared" si="10"/>
        <v>42764.074500000104</v>
      </c>
    </row>
    <row r="44" spans="1:20" x14ac:dyDescent="0.2">
      <c r="A44" s="60" t="s">
        <v>0</v>
      </c>
      <c r="B44" s="61" t="s">
        <v>44</v>
      </c>
      <c r="C44" s="70">
        <v>57842.440600000002</v>
      </c>
      <c r="D44" s="61">
        <v>2.9999999999999997E-4</v>
      </c>
      <c r="E44">
        <f t="shared" si="7"/>
        <v>6705.3938384552757</v>
      </c>
      <c r="F44" s="38">
        <f t="shared" si="5"/>
        <v>6706</v>
      </c>
      <c r="G44">
        <f t="shared" si="8"/>
        <v>-0.16800493999471655</v>
      </c>
      <c r="K44">
        <f t="shared" si="6"/>
        <v>-0.16800493999471655</v>
      </c>
      <c r="O44">
        <f t="shared" ca="1" si="9"/>
        <v>-0.16859818721361747</v>
      </c>
      <c r="Q44" s="2">
        <f t="shared" si="10"/>
        <v>42823.940600000002</v>
      </c>
    </row>
    <row r="45" spans="1:20" x14ac:dyDescent="0.2">
      <c r="A45" s="60" t="s">
        <v>0</v>
      </c>
      <c r="B45" s="61" t="s">
        <v>44</v>
      </c>
      <c r="C45" s="70">
        <v>57842.579899999997</v>
      </c>
      <c r="D45" s="61">
        <v>1.4E-3</v>
      </c>
      <c r="E45">
        <f t="shared" si="7"/>
        <v>6705.8964326241057</v>
      </c>
      <c r="F45" s="38">
        <f t="shared" si="5"/>
        <v>6706.5</v>
      </c>
      <c r="G45">
        <f t="shared" si="8"/>
        <v>-0.16728593500010902</v>
      </c>
      <c r="K45">
        <f t="shared" si="6"/>
        <v>-0.16728593500010902</v>
      </c>
      <c r="O45">
        <f t="shared" ca="1" si="9"/>
        <v>-0.16860053559258259</v>
      </c>
      <c r="Q45" s="2">
        <f t="shared" si="10"/>
        <v>42824.079899999997</v>
      </c>
    </row>
    <row r="46" spans="1:20" x14ac:dyDescent="0.2">
      <c r="A46" s="65" t="s">
        <v>104</v>
      </c>
      <c r="B46" s="66" t="s">
        <v>44</v>
      </c>
      <c r="C46" s="67">
        <v>59280.4689</v>
      </c>
      <c r="D46" s="65">
        <v>1.9E-3</v>
      </c>
      <c r="E46">
        <f t="shared" ref="E46:E47" si="11">+(C46-C$7)/C$8</f>
        <v>11893.797558604629</v>
      </c>
      <c r="F46" s="38">
        <f t="shared" ref="F46:F47" si="12">ROUND(2*E46,0)/2+0.5</f>
        <v>11894.5</v>
      </c>
      <c r="G46">
        <f t="shared" ref="G46:G47" si="13">+C46-(C$7+F46*C$8)</f>
        <v>-0.19469005500286585</v>
      </c>
      <c r="K46">
        <f t="shared" ref="K46:K47" si="14">+G46</f>
        <v>-0.19469005500286585</v>
      </c>
      <c r="O46">
        <f t="shared" ref="O46:O47" ca="1" si="15">+C$11+C$12*$F46</f>
        <v>-0.19296731573463519</v>
      </c>
      <c r="Q46" s="2">
        <f t="shared" ref="Q46:Q47" si="16">+C46-15018.5</f>
        <v>44261.9689</v>
      </c>
    </row>
    <row r="47" spans="1:20" x14ac:dyDescent="0.2">
      <c r="A47" s="65" t="s">
        <v>104</v>
      </c>
      <c r="B47" s="66" t="s">
        <v>44</v>
      </c>
      <c r="C47" s="67">
        <v>59280.605900000002</v>
      </c>
      <c r="D47" s="65">
        <v>8.9999999999999998E-4</v>
      </c>
      <c r="E47">
        <f t="shared" si="11"/>
        <v>11894.291854377301</v>
      </c>
      <c r="F47" s="38">
        <f t="shared" si="12"/>
        <v>11895</v>
      </c>
      <c r="G47">
        <f t="shared" si="13"/>
        <v>-0.19627104999381118</v>
      </c>
      <c r="K47">
        <f t="shared" si="14"/>
        <v>-0.19627104999381118</v>
      </c>
      <c r="O47">
        <f t="shared" ca="1" si="15"/>
        <v>-0.19296966411360028</v>
      </c>
      <c r="Q47" s="2">
        <f t="shared" si="16"/>
        <v>44262.105900000002</v>
      </c>
    </row>
    <row r="48" spans="1:20" x14ac:dyDescent="0.2">
      <c r="A48" s="65" t="s">
        <v>105</v>
      </c>
      <c r="B48" s="66" t="s">
        <v>44</v>
      </c>
      <c r="C48" s="71">
        <v>59306.385000000002</v>
      </c>
      <c r="D48" s="65">
        <v>1E-4</v>
      </c>
      <c r="E48">
        <f t="shared" ref="E48" si="17">+(C48-C$7)/C$8</f>
        <v>11987.302804399706</v>
      </c>
      <c r="F48" s="73">
        <f t="shared" ref="F48" si="18">ROUND(2*E48,0)/2+0.5</f>
        <v>11988</v>
      </c>
      <c r="G48">
        <f t="shared" ref="G48" si="19">+C48-(C$7+F48*C$8)</f>
        <v>-0.19323611999425339</v>
      </c>
      <c r="K48">
        <f t="shared" ref="K48" si="20">+G48</f>
        <v>-0.19323611999425339</v>
      </c>
      <c r="O48">
        <f t="shared" ref="O48" ca="1" si="21">+C$11+C$12*$F48</f>
        <v>-0.19340646260111202</v>
      </c>
      <c r="Q48" s="2">
        <f t="shared" ref="Q48" si="22">+C48-15018.5</f>
        <v>44287.885000000002</v>
      </c>
    </row>
    <row r="49" spans="3:4" x14ac:dyDescent="0.2">
      <c r="C49" s="72"/>
      <c r="D49" s="8"/>
    </row>
    <row r="50" spans="3:4" x14ac:dyDescent="0.2">
      <c r="C50" s="72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rotectedRanges>
    <protectedRange sqref="A45:D45" name="Range1"/>
  </protectedRanges>
  <phoneticPr fontId="8" type="noConversion"/>
  <hyperlinks>
    <hyperlink ref="H1160" r:id="rId1" display="http://vsolj.cetus-net.org/bulletin.html" xr:uid="{00000000-0004-0000-0000-000000000000}"/>
    <hyperlink ref="H64752" r:id="rId2" display="http://vsolj.cetus-net.org/bulletin.html" xr:uid="{00000000-0004-0000-0000-000001000000}"/>
    <hyperlink ref="H64745" r:id="rId3" display="https://www.aavso.org/ejaavso" xr:uid="{00000000-0004-0000-0000-000002000000}"/>
    <hyperlink ref="AP896" r:id="rId4" display="http://cdsbib.u-strasbg.fr/cgi-bin/cdsbib?1990RMxAA..21..381G" xr:uid="{00000000-0004-0000-0000-000003000000}"/>
    <hyperlink ref="AP900" r:id="rId5" display="http://cdsbib.u-strasbg.fr/cgi-bin/cdsbib?1990RMxAA..21..381G" xr:uid="{00000000-0004-0000-0000-000004000000}"/>
    <hyperlink ref="AP899" r:id="rId6" display="http://cdsbib.u-strasbg.fr/cgi-bin/cdsbib?1990RMxAA..21..381G" xr:uid="{00000000-0004-0000-0000-000005000000}"/>
    <hyperlink ref="AP880" r:id="rId7" display="http://cdsbib.u-strasbg.fr/cgi-bin/cdsbib?1990RMxAA..21..381G" xr:uid="{00000000-0004-0000-0000-000006000000}"/>
    <hyperlink ref="I64752" r:id="rId8" display="http://vsolj.cetus-net.org/bulletin.html" xr:uid="{00000000-0004-0000-0000-000007000000}"/>
    <hyperlink ref="AQ1036" r:id="rId9" display="http://cdsbib.u-strasbg.fr/cgi-bin/cdsbib?1990RMxAA..21..381G" xr:uid="{00000000-0004-0000-0000-000008000000}"/>
    <hyperlink ref="AQ55802" r:id="rId10" display="http://cdsbib.u-strasbg.fr/cgi-bin/cdsbib?1990RMxAA..21..381G" xr:uid="{00000000-0004-0000-0000-000009000000}"/>
    <hyperlink ref="AQ1037" r:id="rId11" display="http://cdsbib.u-strasbg.fr/cgi-bin/cdsbib?1990RMxAA..21..381G" xr:uid="{00000000-0004-0000-0000-00000A000000}"/>
    <hyperlink ref="H64749" r:id="rId12" display="https://www.aavso.org/ejaavso" xr:uid="{00000000-0004-0000-0000-00000B000000}"/>
    <hyperlink ref="H1922" r:id="rId13" display="http://vsolj.cetus-net.org/bulletin.html" xr:uid="{00000000-0004-0000-0000-00000C000000}"/>
    <hyperlink ref="AP3166" r:id="rId14" display="http://cdsbib.u-strasbg.fr/cgi-bin/cdsbib?1990RMxAA..21..381G" xr:uid="{00000000-0004-0000-0000-00000D000000}"/>
    <hyperlink ref="AP3169" r:id="rId15" display="http://cdsbib.u-strasbg.fr/cgi-bin/cdsbib?1990RMxAA..21..381G" xr:uid="{00000000-0004-0000-0000-00000E000000}"/>
    <hyperlink ref="AP3167" r:id="rId16" display="http://cdsbib.u-strasbg.fr/cgi-bin/cdsbib?1990RMxAA..21..381G" xr:uid="{00000000-0004-0000-0000-00000F000000}"/>
    <hyperlink ref="AP3151" r:id="rId17" display="http://cdsbib.u-strasbg.fr/cgi-bin/cdsbib?1990RMxAA..21..381G" xr:uid="{00000000-0004-0000-0000-000010000000}"/>
    <hyperlink ref="I1922" r:id="rId18" display="http://vsolj.cetus-net.org/bulletin.html" xr:uid="{00000000-0004-0000-0000-000011000000}"/>
    <hyperlink ref="AQ3380" r:id="rId19" display="http://cdsbib.u-strasbg.fr/cgi-bin/cdsbib?1990RMxAA..21..381G" xr:uid="{00000000-0004-0000-0000-000012000000}"/>
    <hyperlink ref="AQ81" r:id="rId20" display="http://cdsbib.u-strasbg.fr/cgi-bin/cdsbib?1990RMxAA..21..381G" xr:uid="{00000000-0004-0000-0000-000013000000}"/>
    <hyperlink ref="AQ3384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4"/>
  <sheetViews>
    <sheetView workbookViewId="0">
      <selection activeCell="A11" sqref="A11:IV448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9" t="s">
        <v>52</v>
      </c>
      <c r="I1" s="40" t="s">
        <v>53</v>
      </c>
      <c r="J1" s="41" t="s">
        <v>54</v>
      </c>
    </row>
    <row r="2" spans="1:16" x14ac:dyDescent="0.2">
      <c r="I2" s="42" t="s">
        <v>55</v>
      </c>
      <c r="J2" s="43" t="s">
        <v>56</v>
      </c>
    </row>
    <row r="3" spans="1:16" x14ac:dyDescent="0.2">
      <c r="A3" s="44" t="s">
        <v>57</v>
      </c>
      <c r="I3" s="42" t="s">
        <v>58</v>
      </c>
      <c r="J3" s="43" t="s">
        <v>59</v>
      </c>
    </row>
    <row r="4" spans="1:16" x14ac:dyDescent="0.2">
      <c r="I4" s="42" t="s">
        <v>60</v>
      </c>
      <c r="J4" s="43" t="s">
        <v>59</v>
      </c>
    </row>
    <row r="5" spans="1:16" ht="13.5" thickBot="1" x14ac:dyDescent="0.25">
      <c r="I5" s="45" t="s">
        <v>61</v>
      </c>
      <c r="J5" s="46" t="s">
        <v>62</v>
      </c>
    </row>
    <row r="10" spans="1:16" ht="13.5" thickBot="1" x14ac:dyDescent="0.25"/>
    <row r="11" spans="1:16" ht="12.75" customHeight="1" thickBot="1" x14ac:dyDescent="0.25">
      <c r="A11" s="8" t="str">
        <f t="shared" ref="A11:A18" si="0">P11</f>
        <v>IBVS 6029 </v>
      </c>
      <c r="B11" s="3" t="str">
        <f t="shared" ref="B11:B18" si="1">IF(H11=INT(H11),"I","II")</f>
        <v>II</v>
      </c>
      <c r="C11" s="8">
        <f t="shared" ref="C11:C18" si="2">1*G11</f>
        <v>55983.823600000003</v>
      </c>
      <c r="D11" s="10" t="str">
        <f t="shared" ref="D11:D18" si="3">VLOOKUP(F11,I$1:J$5,2,FALSE)</f>
        <v>vis</v>
      </c>
      <c r="E11" s="47">
        <f>VLOOKUP(C11,Active!C$21:E$973,3,FALSE)</f>
        <v>-0.49321337314496633</v>
      </c>
      <c r="F11" s="3" t="s">
        <v>61</v>
      </c>
      <c r="G11" s="10" t="str">
        <f t="shared" ref="G11:G18" si="4">MID(I11,3,LEN(I11)-3)</f>
        <v>55983.8236</v>
      </c>
      <c r="H11" s="8">
        <f t="shared" ref="H11:H18" si="5">1*K11</f>
        <v>5242.5</v>
      </c>
      <c r="I11" s="48" t="s">
        <v>63</v>
      </c>
      <c r="J11" s="49" t="s">
        <v>64</v>
      </c>
      <c r="K11" s="48">
        <v>5242.5</v>
      </c>
      <c r="L11" s="48" t="s">
        <v>65</v>
      </c>
      <c r="M11" s="49" t="s">
        <v>66</v>
      </c>
      <c r="N11" s="49" t="s">
        <v>61</v>
      </c>
      <c r="O11" s="50" t="s">
        <v>67</v>
      </c>
      <c r="P11" s="51" t="s">
        <v>68</v>
      </c>
    </row>
    <row r="12" spans="1:16" ht="12.75" customHeight="1" thickBot="1" x14ac:dyDescent="0.25">
      <c r="A12" s="8" t="str">
        <f t="shared" si="0"/>
        <v>IBVS 6029 </v>
      </c>
      <c r="B12" s="3" t="str">
        <f t="shared" si="1"/>
        <v>I</v>
      </c>
      <c r="C12" s="8">
        <f t="shared" si="2"/>
        <v>55983.960299999999</v>
      </c>
      <c r="D12" s="10" t="str">
        <f t="shared" si="3"/>
        <v>vis</v>
      </c>
      <c r="E12" s="47">
        <f>VLOOKUP(C12,Active!C$21:E$973,3,FALSE)</f>
        <v>0</v>
      </c>
      <c r="F12" s="3" t="s">
        <v>61</v>
      </c>
      <c r="G12" s="10" t="str">
        <f t="shared" si="4"/>
        <v>55983.9603</v>
      </c>
      <c r="H12" s="8">
        <f t="shared" si="5"/>
        <v>5243</v>
      </c>
      <c r="I12" s="48" t="s">
        <v>69</v>
      </c>
      <c r="J12" s="49" t="s">
        <v>70</v>
      </c>
      <c r="K12" s="48">
        <v>5243</v>
      </c>
      <c r="L12" s="48" t="s">
        <v>71</v>
      </c>
      <c r="M12" s="49" t="s">
        <v>66</v>
      </c>
      <c r="N12" s="49" t="s">
        <v>61</v>
      </c>
      <c r="O12" s="50" t="s">
        <v>67</v>
      </c>
      <c r="P12" s="51" t="s">
        <v>68</v>
      </c>
    </row>
    <row r="13" spans="1:16" ht="12.75" customHeight="1" thickBot="1" x14ac:dyDescent="0.25">
      <c r="A13" s="8" t="str">
        <f t="shared" si="0"/>
        <v>BAVM 228 </v>
      </c>
      <c r="B13" s="3" t="str">
        <f t="shared" si="1"/>
        <v>II</v>
      </c>
      <c r="C13" s="8">
        <f t="shared" si="2"/>
        <v>56012.3698</v>
      </c>
      <c r="D13" s="10" t="str">
        <f t="shared" si="3"/>
        <v>vis</v>
      </c>
      <c r="E13" s="47">
        <f>VLOOKUP(C13,Active!C$21:E$973,3,FALSE)</f>
        <v>102.5014288575485</v>
      </c>
      <c r="F13" s="3" t="s">
        <v>61</v>
      </c>
      <c r="G13" s="10" t="str">
        <f t="shared" si="4"/>
        <v>56012.3698</v>
      </c>
      <c r="H13" s="8">
        <f t="shared" si="5"/>
        <v>5345.5</v>
      </c>
      <c r="I13" s="48" t="s">
        <v>72</v>
      </c>
      <c r="J13" s="49" t="s">
        <v>73</v>
      </c>
      <c r="K13" s="48">
        <v>5345.5</v>
      </c>
      <c r="L13" s="48" t="s">
        <v>74</v>
      </c>
      <c r="M13" s="49" t="s">
        <v>66</v>
      </c>
      <c r="N13" s="49" t="s">
        <v>75</v>
      </c>
      <c r="O13" s="50" t="s">
        <v>76</v>
      </c>
      <c r="P13" s="51" t="s">
        <v>77</v>
      </c>
    </row>
    <row r="14" spans="1:16" ht="12.75" customHeight="1" thickBot="1" x14ac:dyDescent="0.25">
      <c r="A14" s="8" t="str">
        <f t="shared" si="0"/>
        <v>BAVM 228 </v>
      </c>
      <c r="B14" s="3" t="str">
        <f t="shared" si="1"/>
        <v>I</v>
      </c>
      <c r="C14" s="8">
        <f t="shared" si="2"/>
        <v>56012.511100000003</v>
      </c>
      <c r="D14" s="10" t="str">
        <f t="shared" si="3"/>
        <v>vis</v>
      </c>
      <c r="E14" s="47">
        <f>VLOOKUP(C14,Active!C$21:E$973,3,FALSE)</f>
        <v>103.01123902308728</v>
      </c>
      <c r="F14" s="3" t="s">
        <v>61</v>
      </c>
      <c r="G14" s="10" t="str">
        <f t="shared" si="4"/>
        <v>56012.5111</v>
      </c>
      <c r="H14" s="8">
        <f t="shared" si="5"/>
        <v>5346</v>
      </c>
      <c r="I14" s="48" t="s">
        <v>78</v>
      </c>
      <c r="J14" s="49" t="s">
        <v>79</v>
      </c>
      <c r="K14" s="48" t="s">
        <v>80</v>
      </c>
      <c r="L14" s="48" t="s">
        <v>81</v>
      </c>
      <c r="M14" s="49" t="s">
        <v>66</v>
      </c>
      <c r="N14" s="49" t="s">
        <v>75</v>
      </c>
      <c r="O14" s="50" t="s">
        <v>76</v>
      </c>
      <c r="P14" s="51" t="s">
        <v>77</v>
      </c>
    </row>
    <row r="15" spans="1:16" ht="12.75" customHeight="1" thickBot="1" x14ac:dyDescent="0.25">
      <c r="A15" s="8" t="str">
        <f t="shared" si="0"/>
        <v>BAVM 228 </v>
      </c>
      <c r="B15" s="3" t="str">
        <f t="shared" si="1"/>
        <v>II</v>
      </c>
      <c r="C15" s="8">
        <f t="shared" si="2"/>
        <v>56012.645299999996</v>
      </c>
      <c r="D15" s="10" t="str">
        <f t="shared" si="3"/>
        <v>vis</v>
      </c>
      <c r="E15" s="47">
        <f>VLOOKUP(C15,Active!C$21:E$973,3,FALSE)</f>
        <v>103.49543240037232</v>
      </c>
      <c r="F15" s="3" t="s">
        <v>61</v>
      </c>
      <c r="G15" s="10" t="str">
        <f t="shared" si="4"/>
        <v>56012.6453</v>
      </c>
      <c r="H15" s="8">
        <f t="shared" si="5"/>
        <v>5346.5</v>
      </c>
      <c r="I15" s="48" t="s">
        <v>82</v>
      </c>
      <c r="J15" s="49" t="s">
        <v>83</v>
      </c>
      <c r="K15" s="48" t="s">
        <v>84</v>
      </c>
      <c r="L15" s="48" t="s">
        <v>85</v>
      </c>
      <c r="M15" s="49" t="s">
        <v>66</v>
      </c>
      <c r="N15" s="49" t="s">
        <v>75</v>
      </c>
      <c r="O15" s="50" t="s">
        <v>76</v>
      </c>
      <c r="P15" s="51" t="s">
        <v>77</v>
      </c>
    </row>
    <row r="16" spans="1:16" ht="12.75" customHeight="1" thickBot="1" x14ac:dyDescent="0.25">
      <c r="A16" s="8" t="str">
        <f t="shared" si="0"/>
        <v>IBVS 6029 </v>
      </c>
      <c r="B16" s="3" t="str">
        <f t="shared" si="1"/>
        <v>I</v>
      </c>
      <c r="C16" s="8">
        <f t="shared" si="2"/>
        <v>56050.754200000003</v>
      </c>
      <c r="D16" s="10" t="str">
        <f t="shared" si="3"/>
        <v>vis</v>
      </c>
      <c r="E16" s="47">
        <f>VLOOKUP(C16,Active!C$21:E$973,3,FALSE)</f>
        <v>240.99228036284561</v>
      </c>
      <c r="F16" s="3" t="s">
        <v>61</v>
      </c>
      <c r="G16" s="10" t="str">
        <f t="shared" si="4"/>
        <v>56050.7542</v>
      </c>
      <c r="H16" s="8">
        <f t="shared" si="5"/>
        <v>5484</v>
      </c>
      <c r="I16" s="48" t="s">
        <v>86</v>
      </c>
      <c r="J16" s="49" t="s">
        <v>87</v>
      </c>
      <c r="K16" s="48" t="s">
        <v>88</v>
      </c>
      <c r="L16" s="48" t="s">
        <v>89</v>
      </c>
      <c r="M16" s="49" t="s">
        <v>66</v>
      </c>
      <c r="N16" s="49" t="s">
        <v>61</v>
      </c>
      <c r="O16" s="50" t="s">
        <v>67</v>
      </c>
      <c r="P16" s="51" t="s">
        <v>68</v>
      </c>
    </row>
    <row r="17" spans="1:16" ht="12.75" customHeight="1" thickBot="1" x14ac:dyDescent="0.25">
      <c r="A17" s="8" t="str">
        <f t="shared" si="0"/>
        <v>BAVM 234 </v>
      </c>
      <c r="B17" s="3" t="str">
        <f t="shared" si="1"/>
        <v>II</v>
      </c>
      <c r="C17" s="8">
        <f t="shared" si="2"/>
        <v>56305.601799999997</v>
      </c>
      <c r="D17" s="10" t="str">
        <f t="shared" si="3"/>
        <v>vis</v>
      </c>
      <c r="E17" s="47">
        <f>VLOOKUP(C17,Active!C$21:E$973,3,FALSE)</f>
        <v>1160.4819982711117</v>
      </c>
      <c r="F17" s="3" t="s">
        <v>61</v>
      </c>
      <c r="G17" s="10" t="str">
        <f t="shared" si="4"/>
        <v>56305.6018</v>
      </c>
      <c r="H17" s="8">
        <f t="shared" si="5"/>
        <v>6403.5</v>
      </c>
      <c r="I17" s="48" t="s">
        <v>90</v>
      </c>
      <c r="J17" s="49" t="s">
        <v>91</v>
      </c>
      <c r="K17" s="48" t="s">
        <v>92</v>
      </c>
      <c r="L17" s="48" t="s">
        <v>93</v>
      </c>
      <c r="M17" s="49" t="s">
        <v>66</v>
      </c>
      <c r="N17" s="49" t="s">
        <v>61</v>
      </c>
      <c r="O17" s="50" t="s">
        <v>94</v>
      </c>
      <c r="P17" s="51" t="s">
        <v>95</v>
      </c>
    </row>
    <row r="18" spans="1:16" ht="12.75" customHeight="1" thickBot="1" x14ac:dyDescent="0.25">
      <c r="A18" s="8" t="str">
        <f t="shared" si="0"/>
        <v>IBVS 6094 </v>
      </c>
      <c r="B18" s="3" t="str">
        <f t="shared" si="1"/>
        <v>II</v>
      </c>
      <c r="C18" s="8">
        <f t="shared" si="2"/>
        <v>56395.400900000001</v>
      </c>
      <c r="D18" s="10" t="str">
        <f t="shared" si="3"/>
        <v>vis</v>
      </c>
      <c r="E18" s="47">
        <f>VLOOKUP(C18,Active!C$21:E$973,3,FALSE)</f>
        <v>1484.4770020593432</v>
      </c>
      <c r="F18" s="3" t="s">
        <v>61</v>
      </c>
      <c r="G18" s="10" t="str">
        <f t="shared" si="4"/>
        <v>56395.4009</v>
      </c>
      <c r="H18" s="8">
        <f t="shared" si="5"/>
        <v>6727.5</v>
      </c>
      <c r="I18" s="48" t="s">
        <v>96</v>
      </c>
      <c r="J18" s="49" t="s">
        <v>97</v>
      </c>
      <c r="K18" s="48" t="s">
        <v>98</v>
      </c>
      <c r="L18" s="48" t="s">
        <v>99</v>
      </c>
      <c r="M18" s="49" t="s">
        <v>66</v>
      </c>
      <c r="N18" s="49" t="s">
        <v>61</v>
      </c>
      <c r="O18" s="50" t="s">
        <v>100</v>
      </c>
      <c r="P18" s="51" t="s">
        <v>101</v>
      </c>
    </row>
    <row r="19" spans="1:16" x14ac:dyDescent="0.2">
      <c r="B19" s="3"/>
      <c r="F19" s="3"/>
    </row>
    <row r="20" spans="1:16" x14ac:dyDescent="0.2">
      <c r="B20" s="3"/>
      <c r="F20" s="3"/>
    </row>
    <row r="21" spans="1:16" x14ac:dyDescent="0.2">
      <c r="B21" s="3"/>
      <c r="F21" s="3"/>
    </row>
    <row r="22" spans="1:16" x14ac:dyDescent="0.2">
      <c r="B22" s="3"/>
      <c r="F22" s="3"/>
    </row>
    <row r="23" spans="1:16" x14ac:dyDescent="0.2">
      <c r="B23" s="3"/>
      <c r="F23" s="3"/>
    </row>
    <row r="24" spans="1:16" x14ac:dyDescent="0.2">
      <c r="B24" s="3"/>
      <c r="F24" s="3"/>
    </row>
    <row r="25" spans="1:16" x14ac:dyDescent="0.2">
      <c r="B25" s="3"/>
      <c r="F25" s="3"/>
    </row>
    <row r="26" spans="1:16" x14ac:dyDescent="0.2">
      <c r="B26" s="3"/>
      <c r="F26" s="3"/>
    </row>
    <row r="27" spans="1:16" x14ac:dyDescent="0.2">
      <c r="B27" s="3"/>
      <c r="F27" s="3"/>
    </row>
    <row r="28" spans="1:16" x14ac:dyDescent="0.2">
      <c r="B28" s="3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</sheetData>
  <phoneticPr fontId="8" type="noConversion"/>
  <hyperlinks>
    <hyperlink ref="P11" r:id="rId1" display="http://www.konkoly.hu/cgi-bin/IBVS?6029" xr:uid="{00000000-0004-0000-0100-000000000000}"/>
    <hyperlink ref="P12" r:id="rId2" display="http://www.konkoly.hu/cgi-bin/IBVS?6029" xr:uid="{00000000-0004-0000-0100-000001000000}"/>
    <hyperlink ref="P13" r:id="rId3" display="http://www.bav-astro.de/sfs/BAVM_link.php?BAVMnr=228" xr:uid="{00000000-0004-0000-0100-000002000000}"/>
    <hyperlink ref="P14" r:id="rId4" display="http://www.bav-astro.de/sfs/BAVM_link.php?BAVMnr=228" xr:uid="{00000000-0004-0000-0100-000003000000}"/>
    <hyperlink ref="P15" r:id="rId5" display="http://www.bav-astro.de/sfs/BAVM_link.php?BAVMnr=228" xr:uid="{00000000-0004-0000-0100-000004000000}"/>
    <hyperlink ref="P16" r:id="rId6" display="http://www.konkoly.hu/cgi-bin/IBVS?6029" xr:uid="{00000000-0004-0000-0100-000005000000}"/>
    <hyperlink ref="P17" r:id="rId7" display="http://www.bav-astro.de/sfs/BAVM_link.php?BAVMnr=234" xr:uid="{00000000-0004-0000-0100-000006000000}"/>
    <hyperlink ref="P18" r:id="rId8" display="http://www.konkoly.hu/cgi-bin/IBVS?6094" xr:uid="{00000000-0004-0000-0100-000007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2023-08-14T06:19:39Z</dcterms:modified>
</cp:coreProperties>
</file>