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<sst xmlns="http://schemas.openxmlformats.org/spreadsheetml/2006/main" count="55" uniqueCount="49">
  <si>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PE</t>
  </si>
  <si>
    <t>I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</si>
  <si>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</si>
  <si>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</si>
  <si>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</si>
  <si>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</si>
  <si>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</si>
  <si>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</si>
  <si>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</si>
  <si>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</si>
  <si>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</si>
  <si>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</si>
  <si>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</si>
  <si>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</si>
  <si>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</si>
  <si>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</si>
  <si>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</si>
  <si>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</si>
  <si>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</si>
  <si>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</si>
  <si>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</si>
  <si>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</si>
  <si>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</si>
  <si>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</si>
  <si>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</si>
  <si>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</si>
  <si>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</si>
  <si>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</si>
  <si>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</si>
  <si>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</si>
  <si>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</si>
  <si>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</si>
  <si>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</si>
  <si>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</si>
  <si>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</si>
  <si>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</si>
  <si>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</si>
  <si>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</si>
  <si>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</si>
  <si>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</si>
  <si>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</si>
  <si>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</si>
  <si>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</si>
  <si>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GI CVn / GSC 3464-0242</t>
  </si>
  <si>
    <t>EW</t>
  </si>
  <si>
    <t>IBVS 6029</t>
  </si>
  <si>
    <t>II:</t>
  </si>
  <si>
    <t>vis</t>
  </si>
  <si>
    <t>OEJV 0179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</si>
</sst>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61" applyFont="1">
      <alignment/>
      <protection/>
    </xf>
    <xf numFmtId="0" fontId="13" fillId="0" borderId="0" xfId="61" applyFont="1" applyAlignment="1">
      <alignment horizontal="center"/>
      <protection/>
    </xf>
    <xf numFmtId="0" fontId="13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GI CVn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26784670"/>
        <c:axId val="39735439"/>
      </c:scatterChart>
      <c:valAx>
        <c:axId val="2678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35439"/>
        <c:crosses val="autoZero"/>
        <c:crossBetween val="midCat"/>
        <c:dispUnits/>
      </c:valAx>
      <c:valAx>
        <c:axId val="39735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467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17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958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43</v>
      </c>
    </row>
    <row r="2" spans="1:4" ht="12.75">
      <c r="A2" t="s">
        <v>27</v>
      </c>
      <c r="B2" t="s">
        <v>44</v>
      </c>
      <c r="C2" s="3"/>
      <c r="D2" s="3"/>
    </row>
    <row r="3" ht="13.5" thickBot="1"/>
    <row r="4" spans="1:4" ht="14.25" thickBot="1" thickTop="1">
      <c r="A4" s="5" t="s">
        <v>4</v>
      </c>
      <c r="C4" s="27" t="s">
        <v>41</v>
      </c>
      <c r="D4" s="28" t="s">
        <v>41</v>
      </c>
    </row>
    <row r="5" spans="1:4" ht="13.5" thickTop="1">
      <c r="A5" s="9" t="s">
        <v>32</v>
      </c>
      <c r="B5" s="10"/>
      <c r="C5" s="11">
        <v>-9.5</v>
      </c>
      <c r="D5" s="10" t="s">
        <v>33</v>
      </c>
    </row>
    <row r="6" ht="12.75">
      <c r="A6" s="5" t="s">
        <v>5</v>
      </c>
    </row>
    <row r="7" spans="1:4" ht="12.75">
      <c r="A7" t="s">
        <v>6</v>
      </c>
      <c r="C7" s="8">
        <v>51433.612</v>
      </c>
      <c r="D7" s="29" t="s">
        <v>42</v>
      </c>
    </row>
    <row r="8" spans="1:4" ht="12.75">
      <c r="A8" t="s">
        <v>7</v>
      </c>
      <c r="C8" s="8">
        <v>0.30316</v>
      </c>
      <c r="D8" s="29" t="s">
        <v>42</v>
      </c>
    </row>
    <row r="9" spans="1:4" ht="12.75">
      <c r="A9" s="24" t="s">
        <v>36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23</v>
      </c>
      <c r="D10" s="4" t="s">
        <v>24</v>
      </c>
      <c r="E10" s="10"/>
    </row>
    <row r="11" spans="1:5" ht="12.75">
      <c r="A11" s="10" t="s">
        <v>19</v>
      </c>
      <c r="B11" s="10"/>
      <c r="C11" s="21">
        <f ca="1">INTERCEPT(INDIRECT($D$9):G992,INDIRECT($C$9):F992)</f>
        <v>0.03469984435007983</v>
      </c>
      <c r="D11" s="3"/>
      <c r="E11" s="10"/>
    </row>
    <row r="12" spans="1:5" ht="12.75">
      <c r="A12" s="10" t="s">
        <v>20</v>
      </c>
      <c r="B12" s="10"/>
      <c r="C12" s="21">
        <f ca="1">SLOPE(INDIRECT($D$9):G992,INDIRECT($C$9):F992)</f>
        <v>-2.34140421782205E-06</v>
      </c>
      <c r="D12" s="3"/>
      <c r="E12" s="10"/>
    </row>
    <row r="13" spans="1:3" ht="12.75">
      <c r="A13" s="10" t="s">
        <v>22</v>
      </c>
      <c r="B13" s="10"/>
      <c r="C13" s="3" t="s">
        <v>17</v>
      </c>
    </row>
    <row r="14" spans="1:3" ht="12.75">
      <c r="A14" s="10"/>
      <c r="B14" s="10"/>
      <c r="C14" s="10"/>
    </row>
    <row r="15" spans="1:6" ht="12.75">
      <c r="A15" s="12" t="s">
        <v>21</v>
      </c>
      <c r="B15" s="10"/>
      <c r="C15" s="13">
        <f>(C7+C11)+(C8+C12)*INT(MAX(F21:F3533))</f>
        <v>57089.35597860726</v>
      </c>
      <c r="E15" s="14" t="s">
        <v>38</v>
      </c>
      <c r="F15" s="11">
        <v>1</v>
      </c>
    </row>
    <row r="16" spans="1:6" ht="12.75">
      <c r="A16" s="16" t="s">
        <v>8</v>
      </c>
      <c r="B16" s="10"/>
      <c r="C16" s="17">
        <f>+C8+C12</f>
        <v>0.30315765859578214</v>
      </c>
      <c r="E16" s="14" t="s">
        <v>34</v>
      </c>
      <c r="F16" s="15">
        <f ca="1">NOW()+15018.5+$C$5/24</f>
        <v>59896.73878032407</v>
      </c>
    </row>
    <row r="17" spans="1:6" ht="13.5" thickBot="1">
      <c r="A17" s="14" t="s">
        <v>31</v>
      </c>
      <c r="B17" s="10"/>
      <c r="C17" s="10">
        <f>COUNT(C21:C2191)</f>
        <v>4</v>
      </c>
      <c r="E17" s="14" t="s">
        <v>39</v>
      </c>
      <c r="F17" s="15">
        <f>ROUND(2*(F16-$C$7)/$C$8,0)/2+F15</f>
        <v>27917.5</v>
      </c>
    </row>
    <row r="18" spans="1:6" ht="14.25" thickBot="1" thickTop="1">
      <c r="A18" s="16" t="s">
        <v>9</v>
      </c>
      <c r="B18" s="10"/>
      <c r="C18" s="19">
        <f>+C15</f>
        <v>57089.35597860726</v>
      </c>
      <c r="D18" s="20">
        <f>+C16</f>
        <v>0.30315765859578214</v>
      </c>
      <c r="E18" s="14" t="s">
        <v>40</v>
      </c>
      <c r="F18" s="23">
        <f>ROUND(2*(F16-$C$15)/$C$16,0)/2+F15</f>
        <v>9261.5</v>
      </c>
    </row>
    <row r="19" spans="5:6" ht="13.5" thickTop="1">
      <c r="E19" s="14" t="s">
        <v>35</v>
      </c>
      <c r="F19" s="18">
        <f>+$C$15+$C$16*F18-15018.5-$C$5/24</f>
        <v>44878.94646702543</v>
      </c>
    </row>
    <row r="20" spans="1:21" ht="13.5" thickBot="1">
      <c r="A20" s="4" t="s">
        <v>10</v>
      </c>
      <c r="B20" s="4" t="s">
        <v>11</v>
      </c>
      <c r="C20" s="4" t="s">
        <v>12</v>
      </c>
      <c r="D20" s="4" t="s">
        <v>16</v>
      </c>
      <c r="E20" s="4" t="s">
        <v>13</v>
      </c>
      <c r="F20" s="4" t="s">
        <v>14</v>
      </c>
      <c r="G20" s="4" t="s">
        <v>15</v>
      </c>
      <c r="H20" s="7" t="s">
        <v>3</v>
      </c>
      <c r="I20" s="7" t="s">
        <v>47</v>
      </c>
      <c r="J20" s="7" t="s">
        <v>0</v>
      </c>
      <c r="K20" s="7" t="s">
        <v>2</v>
      </c>
      <c r="L20" s="7" t="s">
        <v>28</v>
      </c>
      <c r="M20" s="7" t="s">
        <v>29</v>
      </c>
      <c r="N20" s="7" t="s">
        <v>30</v>
      </c>
      <c r="O20" s="7" t="s">
        <v>26</v>
      </c>
      <c r="P20" s="6" t="s">
        <v>25</v>
      </c>
      <c r="Q20" s="4" t="s">
        <v>18</v>
      </c>
      <c r="U20" s="26" t="s">
        <v>37</v>
      </c>
    </row>
    <row r="21" spans="1:17" ht="12.75">
      <c r="A21" t="s">
        <v>42</v>
      </c>
      <c r="C21" s="8">
        <f>C7</f>
        <v>51433.612</v>
      </c>
      <c r="D21" s="8" t="s">
        <v>17</v>
      </c>
      <c r="E21">
        <f>+(C21-C$7)/C$8</f>
        <v>0</v>
      </c>
      <c r="F21">
        <f>ROUND(2*E21,0)/2+0.5</f>
        <v>0.5</v>
      </c>
      <c r="G21">
        <f>+C21-(C$7+F21*C$8)</f>
        <v>-0.15157999999792082</v>
      </c>
      <c r="I21">
        <f>+G21</f>
        <v>-0.15157999999792082</v>
      </c>
      <c r="O21">
        <f>+C$11+C$12*$F21</f>
        <v>0.03469867364797091</v>
      </c>
      <c r="Q21" s="2">
        <f>+C21-15018.5</f>
        <v>36415.112</v>
      </c>
    </row>
    <row r="22" spans="1:17" ht="12.75">
      <c r="A22" s="30" t="s">
        <v>45</v>
      </c>
      <c r="B22" s="31" t="s">
        <v>46</v>
      </c>
      <c r="C22" s="30">
        <v>56003.8986</v>
      </c>
      <c r="D22" s="30">
        <v>0.0004</v>
      </c>
      <c r="E22">
        <f>+(C22-C$7)/C$8</f>
        <v>15075.493468795354</v>
      </c>
      <c r="F22">
        <f>ROUND(2*E22,0)/2</f>
        <v>15075.5</v>
      </c>
      <c r="G22">
        <f>+C22-(C$7+F22*C$8)</f>
        <v>-0.001980000000912696</v>
      </c>
      <c r="K22">
        <f>+G22</f>
        <v>-0.001980000000912696</v>
      </c>
      <c r="O22">
        <f>+C$11+C$12*$F22</f>
        <v>-0.0005979949356964831</v>
      </c>
      <c r="Q22" s="2">
        <f>+C22-15018.5</f>
        <v>40985.3986</v>
      </c>
    </row>
    <row r="23" spans="1:17" ht="12.75">
      <c r="A23" s="30" t="s">
        <v>45</v>
      </c>
      <c r="B23" s="31" t="s">
        <v>46</v>
      </c>
      <c r="C23" s="30">
        <v>56089.6951</v>
      </c>
      <c r="D23" s="30">
        <v>0.0004</v>
      </c>
      <c r="E23">
        <f>+(C23-C$7)/C$8</f>
        <v>15358.500791661158</v>
      </c>
      <c r="F23">
        <f>ROUND(2*E23,0)/2</f>
        <v>15358.5</v>
      </c>
      <c r="G23">
        <f>+C23-(C$7+F23*C$8)</f>
        <v>0.00023999999393709004</v>
      </c>
      <c r="K23">
        <f>+G23</f>
        <v>0.00023999999393709004</v>
      </c>
      <c r="O23">
        <f>+C$11+C$12*$F23</f>
        <v>-0.0012606123293401258</v>
      </c>
      <c r="Q23" s="2">
        <f>+C23-15018.5</f>
        <v>41071.1951</v>
      </c>
    </row>
    <row r="24" spans="1:17" ht="12.75">
      <c r="A24" s="32" t="s">
        <v>48</v>
      </c>
      <c r="B24" s="33" t="s">
        <v>1</v>
      </c>
      <c r="C24" s="34">
        <v>57089.35586</v>
      </c>
      <c r="D24" s="34">
        <v>0.0003</v>
      </c>
      <c r="E24">
        <f>+(C24-C$7)/C$8</f>
        <v>18655.96998284735</v>
      </c>
      <c r="F24">
        <f>ROUND(2*E24,0)/2</f>
        <v>18656</v>
      </c>
      <c r="G24">
        <f>+C24-(C$7+F24*C$8)</f>
        <v>-0.00909999999566935</v>
      </c>
      <c r="K24">
        <f>+G24</f>
        <v>-0.00909999999566935</v>
      </c>
      <c r="O24">
        <f>+C$11+C$12*$F24</f>
        <v>-0.008981392737608333</v>
      </c>
      <c r="Q24" s="2">
        <f>+C24-15018.5</f>
        <v>42070.85586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1111" r:id="rId1" display="http://vsolj.cetus-net.org/bulletin.html"/>
  </hyperlinks>
  <printOptions/>
  <pageMargins left="0.75" right="0.75" top="1" bottom="1" header="0.5" footer="0.5"/>
  <pageSetup horizontalDpi="300" verticalDpi="3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2022-11-13T04:43:50Z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