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E11D834-D073-44FE-961E-E4D63A9A7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00" i="1" l="1"/>
  <c r="F100" i="1"/>
  <c r="G100" i="1" s="1"/>
  <c r="K100" i="1" s="1"/>
  <c r="Q100" i="1"/>
  <c r="E99" i="1"/>
  <c r="F99" i="1" s="1"/>
  <c r="G99" i="1" s="1"/>
  <c r="K99" i="1" s="1"/>
  <c r="Q99" i="1"/>
  <c r="E95" i="1"/>
  <c r="F95" i="1" s="1"/>
  <c r="G95" i="1" s="1"/>
  <c r="K95" i="1" s="1"/>
  <c r="Q95" i="1"/>
  <c r="E98" i="1"/>
  <c r="F98" i="1" s="1"/>
  <c r="G98" i="1" s="1"/>
  <c r="K98" i="1" s="1"/>
  <c r="Q98" i="1"/>
  <c r="Q96" i="1"/>
  <c r="Q97" i="1"/>
  <c r="Q94" i="1"/>
  <c r="D9" i="1"/>
  <c r="C9" i="1"/>
  <c r="Q86" i="1"/>
  <c r="Q89" i="1"/>
  <c r="Q90" i="1"/>
  <c r="Q91" i="1"/>
  <c r="Q92" i="1"/>
  <c r="Q93" i="1"/>
  <c r="Q82" i="1"/>
  <c r="Q87" i="1"/>
  <c r="Q88" i="1"/>
  <c r="Q78" i="1"/>
  <c r="Q79" i="1"/>
  <c r="Q81" i="1"/>
  <c r="Q83" i="1"/>
  <c r="Q84" i="1"/>
  <c r="Q85" i="1"/>
  <c r="Q80" i="1"/>
  <c r="Q77" i="1"/>
  <c r="Q73" i="1"/>
  <c r="Q75" i="1"/>
  <c r="Q76" i="1"/>
  <c r="E96" i="1"/>
  <c r="F96" i="1" s="1"/>
  <c r="G96" i="1" s="1"/>
  <c r="K96" i="1" s="1"/>
  <c r="Q23" i="1"/>
  <c r="Q24" i="1"/>
  <c r="Q25" i="1"/>
  <c r="Q26" i="1"/>
  <c r="Q27" i="1"/>
  <c r="Q28" i="1"/>
  <c r="Q30" i="1"/>
  <c r="Q31" i="1"/>
  <c r="Q32" i="1"/>
  <c r="Q33" i="1"/>
  <c r="Q34" i="1"/>
  <c r="Q36" i="1"/>
  <c r="Q38" i="1"/>
  <c r="Q41" i="1"/>
  <c r="Q64" i="1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61" i="2"/>
  <c r="C61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60" i="2"/>
  <c r="C60" i="2"/>
  <c r="G16" i="2"/>
  <c r="C16" i="2"/>
  <c r="G15" i="2"/>
  <c r="C15" i="2"/>
  <c r="G59" i="2"/>
  <c r="C59" i="2"/>
  <c r="G14" i="2"/>
  <c r="C14" i="2"/>
  <c r="G58" i="2"/>
  <c r="C58" i="2"/>
  <c r="G13" i="2"/>
  <c r="C13" i="2"/>
  <c r="G57" i="2"/>
  <c r="C57" i="2"/>
  <c r="G56" i="2"/>
  <c r="C56" i="2"/>
  <c r="G55" i="2"/>
  <c r="C55" i="2"/>
  <c r="G54" i="2"/>
  <c r="C54" i="2"/>
  <c r="G53" i="2"/>
  <c r="C53" i="2"/>
  <c r="G12" i="2"/>
  <c r="C12" i="2"/>
  <c r="G52" i="2"/>
  <c r="C52" i="2"/>
  <c r="G51" i="2"/>
  <c r="C51" i="2"/>
  <c r="G50" i="2"/>
  <c r="C50" i="2"/>
  <c r="G49" i="2"/>
  <c r="C49" i="2"/>
  <c r="G48" i="2"/>
  <c r="C48" i="2"/>
  <c r="G47" i="2"/>
  <c r="C47" i="2"/>
  <c r="G11" i="2"/>
  <c r="C11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61" i="2"/>
  <c r="B61" i="2"/>
  <c r="D61" i="2"/>
  <c r="A61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60" i="2"/>
  <c r="B60" i="2"/>
  <c r="D60" i="2"/>
  <c r="A60" i="2"/>
  <c r="H16" i="2"/>
  <c r="B16" i="2"/>
  <c r="D16" i="2"/>
  <c r="A16" i="2"/>
  <c r="H15" i="2"/>
  <c r="B15" i="2"/>
  <c r="D15" i="2"/>
  <c r="A15" i="2"/>
  <c r="H59" i="2"/>
  <c r="B59" i="2"/>
  <c r="D59" i="2"/>
  <c r="A59" i="2"/>
  <c r="H14" i="2"/>
  <c r="B14" i="2"/>
  <c r="D14" i="2"/>
  <c r="A14" i="2"/>
  <c r="H58" i="2"/>
  <c r="B58" i="2"/>
  <c r="D58" i="2"/>
  <c r="A58" i="2"/>
  <c r="H13" i="2"/>
  <c r="B13" i="2"/>
  <c r="D13" i="2"/>
  <c r="A13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12" i="2"/>
  <c r="B12" i="2"/>
  <c r="D12" i="2"/>
  <c r="A12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11" i="2"/>
  <c r="B11" i="2"/>
  <c r="D11" i="2"/>
  <c r="A11" i="2"/>
  <c r="Q71" i="1"/>
  <c r="Q72" i="1"/>
  <c r="Q70" i="1"/>
  <c r="Q74" i="1"/>
  <c r="Q69" i="1"/>
  <c r="Q67" i="1"/>
  <c r="Q66" i="1"/>
  <c r="Q60" i="1"/>
  <c r="Q62" i="1"/>
  <c r="Q56" i="1"/>
  <c r="Q53" i="1"/>
  <c r="Q46" i="1"/>
  <c r="Q45" i="1"/>
  <c r="Q44" i="1"/>
  <c r="Q65" i="1"/>
  <c r="Q51" i="1"/>
  <c r="Q43" i="1"/>
  <c r="Q42" i="1"/>
  <c r="Q63" i="1"/>
  <c r="Q58" i="1"/>
  <c r="Q47" i="1"/>
  <c r="Q68" i="1"/>
  <c r="Q61" i="1"/>
  <c r="Q59" i="1"/>
  <c r="Q57" i="1"/>
  <c r="Q55" i="1"/>
  <c r="F16" i="1"/>
  <c r="F17" i="1" s="1"/>
  <c r="Q50" i="1"/>
  <c r="Q48" i="1"/>
  <c r="Q52" i="1"/>
  <c r="Q49" i="1"/>
  <c r="Q40" i="1"/>
  <c r="Q39" i="1"/>
  <c r="Q54" i="1"/>
  <c r="C17" i="1"/>
  <c r="Q21" i="1"/>
  <c r="Q22" i="1"/>
  <c r="Q29" i="1"/>
  <c r="Q35" i="1"/>
  <c r="Q37" i="1"/>
  <c r="E47" i="1"/>
  <c r="F47" i="1" s="1"/>
  <c r="E32" i="1"/>
  <c r="F32" i="1" s="1"/>
  <c r="G32" i="1" s="1"/>
  <c r="K32" i="1" s="1"/>
  <c r="E64" i="1"/>
  <c r="E61" i="2" s="1"/>
  <c r="E67" i="1"/>
  <c r="F67" i="1" s="1"/>
  <c r="G67" i="1" s="1"/>
  <c r="K67" i="1" s="1"/>
  <c r="E54" i="1"/>
  <c r="E29" i="2" s="1"/>
  <c r="E86" i="1"/>
  <c r="F86" i="1" s="1"/>
  <c r="E58" i="1"/>
  <c r="E33" i="2" s="1"/>
  <c r="E40" i="1"/>
  <c r="E16" i="2" s="1"/>
  <c r="E91" i="1"/>
  <c r="F91" i="1" s="1"/>
  <c r="G91" i="1" s="1"/>
  <c r="K91" i="1" s="1"/>
  <c r="E81" i="1"/>
  <c r="F81" i="1" s="1"/>
  <c r="G81" i="1" s="1"/>
  <c r="K81" i="1" s="1"/>
  <c r="E62" i="1"/>
  <c r="F62" i="1" s="1"/>
  <c r="G62" i="1" s="1"/>
  <c r="K62" i="1" s="1"/>
  <c r="E27" i="1"/>
  <c r="F27" i="1" s="1"/>
  <c r="G27" i="1" s="1"/>
  <c r="K27" i="1" s="1"/>
  <c r="E57" i="1"/>
  <c r="E32" i="2" s="1"/>
  <c r="E85" i="1"/>
  <c r="F85" i="1" s="1"/>
  <c r="G85" i="1" s="1"/>
  <c r="K85" i="1" s="1"/>
  <c r="E78" i="1"/>
  <c r="F78" i="1" s="1"/>
  <c r="F40" i="1"/>
  <c r="G40" i="1" s="1"/>
  <c r="K40" i="1" s="1"/>
  <c r="E37" i="2" l="1"/>
  <c r="E88" i="1"/>
  <c r="F88" i="1" s="1"/>
  <c r="G88" i="1" s="1"/>
  <c r="K88" i="1" s="1"/>
  <c r="E40" i="2"/>
  <c r="E51" i="2"/>
  <c r="F58" i="1"/>
  <c r="G58" i="1" s="1"/>
  <c r="J58" i="1" s="1"/>
  <c r="E22" i="2"/>
  <c r="E25" i="1"/>
  <c r="E82" i="1"/>
  <c r="F82" i="1" s="1"/>
  <c r="G82" i="1" s="1"/>
  <c r="K82" i="1" s="1"/>
  <c r="E65" i="1"/>
  <c r="F65" i="1" s="1"/>
  <c r="G65" i="1" s="1"/>
  <c r="K65" i="1" s="1"/>
  <c r="E23" i="1"/>
  <c r="G47" i="1"/>
  <c r="J47" i="1" s="1"/>
  <c r="E61" i="1"/>
  <c r="E87" i="1"/>
  <c r="F87" i="1" s="1"/>
  <c r="G87" i="1" s="1"/>
  <c r="K87" i="1" s="1"/>
  <c r="E42" i="1"/>
  <c r="E79" i="1"/>
  <c r="F79" i="1" s="1"/>
  <c r="G79" i="1" s="1"/>
  <c r="K79" i="1" s="1"/>
  <c r="E63" i="1"/>
  <c r="F63" i="1" s="1"/>
  <c r="G63" i="1" s="1"/>
  <c r="J63" i="1" s="1"/>
  <c r="E94" i="1"/>
  <c r="F94" i="1" s="1"/>
  <c r="G94" i="1" s="1"/>
  <c r="K94" i="1" s="1"/>
  <c r="E55" i="2"/>
  <c r="E39" i="1"/>
  <c r="E55" i="1"/>
  <c r="E30" i="2" s="1"/>
  <c r="E93" i="1"/>
  <c r="F93" i="1" s="1"/>
  <c r="G93" i="1" s="1"/>
  <c r="K93" i="1" s="1"/>
  <c r="E37" i="1"/>
  <c r="E73" i="1"/>
  <c r="F73" i="1" s="1"/>
  <c r="G73" i="1" s="1"/>
  <c r="K73" i="1" s="1"/>
  <c r="E68" i="1"/>
  <c r="E26" i="1"/>
  <c r="E76" i="1"/>
  <c r="F76" i="1" s="1"/>
  <c r="G76" i="1" s="1"/>
  <c r="K76" i="1" s="1"/>
  <c r="E83" i="1"/>
  <c r="F83" i="1" s="1"/>
  <c r="G83" i="1" s="1"/>
  <c r="K83" i="1" s="1"/>
  <c r="E71" i="1"/>
  <c r="E33" i="1"/>
  <c r="E43" i="1"/>
  <c r="E75" i="1"/>
  <c r="F75" i="1" s="1"/>
  <c r="G75" i="1" s="1"/>
  <c r="K75" i="1" s="1"/>
  <c r="E72" i="1"/>
  <c r="E80" i="1"/>
  <c r="F80" i="1" s="1"/>
  <c r="G80" i="1" s="1"/>
  <c r="K80" i="1" s="1"/>
  <c r="E21" i="1"/>
  <c r="F21" i="1" s="1"/>
  <c r="G21" i="1" s="1"/>
  <c r="H21" i="1" s="1"/>
  <c r="E30" i="1"/>
  <c r="E53" i="2" s="1"/>
  <c r="E35" i="1"/>
  <c r="E89" i="1"/>
  <c r="F89" i="1" s="1"/>
  <c r="E45" i="1"/>
  <c r="E52" i="1"/>
  <c r="E27" i="2" s="1"/>
  <c r="G86" i="1"/>
  <c r="K86" i="1" s="1"/>
  <c r="E28" i="1"/>
  <c r="E48" i="1"/>
  <c r="E53" i="1"/>
  <c r="E28" i="2" s="1"/>
  <c r="E66" i="1"/>
  <c r="F66" i="1" s="1"/>
  <c r="G66" i="1" s="1"/>
  <c r="K66" i="1" s="1"/>
  <c r="G89" i="1"/>
  <c r="K89" i="1" s="1"/>
  <c r="G78" i="1"/>
  <c r="K78" i="1" s="1"/>
  <c r="E41" i="1"/>
  <c r="E60" i="1"/>
  <c r="F60" i="1" s="1"/>
  <c r="G60" i="1" s="1"/>
  <c r="K60" i="1" s="1"/>
  <c r="E44" i="1"/>
  <c r="E49" i="1"/>
  <c r="E34" i="1"/>
  <c r="E84" i="1"/>
  <c r="F84" i="1" s="1"/>
  <c r="G84" i="1" s="1"/>
  <c r="K84" i="1" s="1"/>
  <c r="E36" i="1"/>
  <c r="E31" i="1"/>
  <c r="E92" i="1"/>
  <c r="F92" i="1" s="1"/>
  <c r="G92" i="1" s="1"/>
  <c r="K92" i="1" s="1"/>
  <c r="E38" i="1"/>
  <c r="E50" i="1"/>
  <c r="E97" i="1"/>
  <c r="F97" i="1" s="1"/>
  <c r="G97" i="1" s="1"/>
  <c r="K97" i="1" s="1"/>
  <c r="E74" i="1"/>
  <c r="E46" i="2" s="1"/>
  <c r="E69" i="1"/>
  <c r="E22" i="1"/>
  <c r="E24" i="1"/>
  <c r="E51" i="1"/>
  <c r="E90" i="1"/>
  <c r="F90" i="1" s="1"/>
  <c r="G90" i="1" s="1"/>
  <c r="K90" i="1" s="1"/>
  <c r="E70" i="1"/>
  <c r="E56" i="1"/>
  <c r="E29" i="1"/>
  <c r="E46" i="1"/>
  <c r="F54" i="1"/>
  <c r="G54" i="1" s="1"/>
  <c r="K54" i="1" s="1"/>
  <c r="E59" i="1"/>
  <c r="F64" i="1"/>
  <c r="G64" i="1" s="1"/>
  <c r="K64" i="1" s="1"/>
  <c r="E77" i="1"/>
  <c r="F77" i="1" s="1"/>
  <c r="U77" i="1" s="1"/>
  <c r="E39" i="2"/>
  <c r="F55" i="1"/>
  <c r="G55" i="1" s="1"/>
  <c r="K55" i="1" s="1"/>
  <c r="F57" i="1"/>
  <c r="G57" i="1" s="1"/>
  <c r="K57" i="1" s="1"/>
  <c r="F30" i="1"/>
  <c r="G30" i="1" s="1"/>
  <c r="K30" i="1" s="1"/>
  <c r="F74" i="1" l="1"/>
  <c r="G74" i="1" s="1"/>
  <c r="E35" i="2"/>
  <c r="E38" i="2"/>
  <c r="F53" i="1"/>
  <c r="G53" i="1" s="1"/>
  <c r="K53" i="1" s="1"/>
  <c r="F52" i="1"/>
  <c r="G52" i="1" s="1"/>
  <c r="K52" i="1" s="1"/>
  <c r="E31" i="2"/>
  <c r="F56" i="1"/>
  <c r="G56" i="1" s="1"/>
  <c r="K56" i="1" s="1"/>
  <c r="E13" i="2"/>
  <c r="F35" i="1"/>
  <c r="G35" i="1" s="1"/>
  <c r="J35" i="1" s="1"/>
  <c r="E25" i="2"/>
  <c r="F50" i="1"/>
  <c r="G50" i="1" s="1"/>
  <c r="K50" i="1" s="1"/>
  <c r="E24" i="2"/>
  <c r="F49" i="1"/>
  <c r="G49" i="1" s="1"/>
  <c r="K49" i="1" s="1"/>
  <c r="F42" i="1"/>
  <c r="G42" i="1" s="1"/>
  <c r="K42" i="1" s="1"/>
  <c r="E17" i="2"/>
  <c r="F51" i="1"/>
  <c r="G51" i="1" s="1"/>
  <c r="K51" i="1" s="1"/>
  <c r="E26" i="2"/>
  <c r="E59" i="2"/>
  <c r="F38" i="1"/>
  <c r="G38" i="1" s="1"/>
  <c r="K38" i="1" s="1"/>
  <c r="E23" i="2"/>
  <c r="F48" i="1"/>
  <c r="G48" i="1" s="1"/>
  <c r="K48" i="1" s="1"/>
  <c r="F39" i="1"/>
  <c r="G39" i="1" s="1"/>
  <c r="K39" i="1" s="1"/>
  <c r="E15" i="2"/>
  <c r="E49" i="2"/>
  <c r="F25" i="1"/>
  <c r="G25" i="1" s="1"/>
  <c r="K25" i="1" s="1"/>
  <c r="F59" i="1"/>
  <c r="G59" i="1" s="1"/>
  <c r="K59" i="1" s="1"/>
  <c r="E34" i="2"/>
  <c r="F44" i="1"/>
  <c r="G44" i="1" s="1"/>
  <c r="K44" i="1" s="1"/>
  <c r="E19" i="2"/>
  <c r="F70" i="1"/>
  <c r="G70" i="1" s="1"/>
  <c r="E43" i="2"/>
  <c r="E57" i="2"/>
  <c r="F34" i="1"/>
  <c r="G34" i="1" s="1"/>
  <c r="K34" i="1" s="1"/>
  <c r="F71" i="1"/>
  <c r="G71" i="1" s="1"/>
  <c r="J71" i="1" s="1"/>
  <c r="E44" i="2"/>
  <c r="E52" i="2"/>
  <c r="F28" i="1"/>
  <c r="G28" i="1" s="1"/>
  <c r="K28" i="1" s="1"/>
  <c r="E11" i="2"/>
  <c r="F22" i="1"/>
  <c r="U22" i="1" s="1"/>
  <c r="E54" i="2"/>
  <c r="F31" i="1"/>
  <c r="G31" i="1" s="1"/>
  <c r="K31" i="1" s="1"/>
  <c r="E45" i="2"/>
  <c r="F72" i="1"/>
  <c r="G72" i="1" s="1"/>
  <c r="J72" i="1" s="1"/>
  <c r="E50" i="2"/>
  <c r="F26" i="1"/>
  <c r="G26" i="1" s="1"/>
  <c r="K26" i="1" s="1"/>
  <c r="E36" i="2"/>
  <c r="F61" i="1"/>
  <c r="G61" i="1" s="1"/>
  <c r="K61" i="1" s="1"/>
  <c r="F24" i="1"/>
  <c r="G24" i="1" s="1"/>
  <c r="K24" i="1" s="1"/>
  <c r="E48" i="2"/>
  <c r="F46" i="1"/>
  <c r="G46" i="1" s="1"/>
  <c r="K46" i="1" s="1"/>
  <c r="E21" i="2"/>
  <c r="F36" i="1"/>
  <c r="G36" i="1" s="1"/>
  <c r="K36" i="1" s="1"/>
  <c r="E58" i="2"/>
  <c r="E60" i="2"/>
  <c r="F41" i="1"/>
  <c r="G41" i="1" s="1"/>
  <c r="K41" i="1" s="1"/>
  <c r="F68" i="1"/>
  <c r="G68" i="1" s="1"/>
  <c r="K68" i="1" s="1"/>
  <c r="E41" i="2"/>
  <c r="F29" i="1"/>
  <c r="E12" i="2"/>
  <c r="F69" i="1"/>
  <c r="G69" i="1" s="1"/>
  <c r="K69" i="1" s="1"/>
  <c r="E42" i="2"/>
  <c r="F45" i="1"/>
  <c r="G45" i="1" s="1"/>
  <c r="K45" i="1" s="1"/>
  <c r="E20" i="2"/>
  <c r="E18" i="2"/>
  <c r="F43" i="1"/>
  <c r="G43" i="1" s="1"/>
  <c r="K43" i="1" s="1"/>
  <c r="F23" i="1"/>
  <c r="G23" i="1" s="1"/>
  <c r="K23" i="1" s="1"/>
  <c r="E47" i="2"/>
  <c r="F33" i="1"/>
  <c r="G33" i="1" s="1"/>
  <c r="K33" i="1" s="1"/>
  <c r="E56" i="2"/>
  <c r="E14" i="2"/>
  <c r="F37" i="1"/>
  <c r="G37" i="1" s="1"/>
  <c r="K37" i="1" s="1"/>
  <c r="K74" i="1"/>
  <c r="C11" i="1"/>
  <c r="C12" i="1"/>
  <c r="O100" i="1" l="1"/>
  <c r="O99" i="1"/>
  <c r="O98" i="1"/>
  <c r="O95" i="1"/>
  <c r="O91" i="1"/>
  <c r="O96" i="1"/>
  <c r="O92" i="1"/>
  <c r="O88" i="1"/>
  <c r="O51" i="1"/>
  <c r="O40" i="1"/>
  <c r="O57" i="1"/>
  <c r="O77" i="1"/>
  <c r="O44" i="1"/>
  <c r="O87" i="1"/>
  <c r="O26" i="1"/>
  <c r="O86" i="1"/>
  <c r="O25" i="1"/>
  <c r="O97" i="1"/>
  <c r="O22" i="1"/>
  <c r="O45" i="1"/>
  <c r="O59" i="1"/>
  <c r="O73" i="1"/>
  <c r="O85" i="1"/>
  <c r="O23" i="1"/>
  <c r="O37" i="1"/>
  <c r="O49" i="1"/>
  <c r="O61" i="1"/>
  <c r="O89" i="1"/>
  <c r="O31" i="1"/>
  <c r="O66" i="1"/>
  <c r="O41" i="1"/>
  <c r="O47" i="1"/>
  <c r="O27" i="1"/>
  <c r="O53" i="1"/>
  <c r="O64" i="1"/>
  <c r="O62" i="1"/>
  <c r="O54" i="1"/>
  <c r="O52" i="1"/>
  <c r="O35" i="1"/>
  <c r="O24" i="1"/>
  <c r="O67" i="1"/>
  <c r="O21" i="1"/>
  <c r="O90" i="1"/>
  <c r="O75" i="1"/>
  <c r="O36" i="1"/>
  <c r="O79" i="1"/>
  <c r="O58" i="1"/>
  <c r="O29" i="1"/>
  <c r="C15" i="1"/>
  <c r="C18" i="1" s="1"/>
  <c r="O71" i="1"/>
  <c r="O33" i="1"/>
  <c r="O69" i="1"/>
  <c r="O60" i="1"/>
  <c r="O32" i="1"/>
  <c r="O76" i="1"/>
  <c r="O83" i="1"/>
  <c r="O63" i="1"/>
  <c r="O55" i="1"/>
  <c r="O81" i="1"/>
  <c r="O30" i="1"/>
  <c r="O42" i="1"/>
  <c r="O68" i="1"/>
  <c r="O72" i="1"/>
  <c r="O39" i="1"/>
  <c r="O50" i="1"/>
  <c r="O34" i="1"/>
  <c r="O82" i="1"/>
  <c r="O70" i="1"/>
  <c r="O46" i="1"/>
  <c r="O56" i="1"/>
  <c r="O43" i="1"/>
  <c r="O48" i="1"/>
  <c r="O94" i="1"/>
  <c r="O80" i="1"/>
  <c r="O84" i="1"/>
  <c r="O65" i="1"/>
  <c r="O74" i="1"/>
  <c r="O93" i="1"/>
  <c r="O78" i="1"/>
  <c r="O28" i="1"/>
  <c r="O38" i="1"/>
  <c r="C16" i="1"/>
  <c r="D18" i="1" s="1"/>
  <c r="K70" i="1"/>
  <c r="F18" i="1" l="1"/>
  <c r="F19" i="1" s="1"/>
</calcChain>
</file>

<file path=xl/sharedStrings.xml><?xml version="1.0" encoding="utf-8"?>
<sst xmlns="http://schemas.openxmlformats.org/spreadsheetml/2006/main" count="673" uniqueCount="320">
  <si>
    <t>JAVSO..47..105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</si>
  <si>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</si>
  <si>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</si>
  <si>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</si>
  <si>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</si>
  <si>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</si>
  <si>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</si>
  <si>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</si>
  <si>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</si>
  <si>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</si>
  <si>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</si>
  <si>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</si>
  <si>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</si>
  <si>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</si>
  <si>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</si>
  <si>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</si>
  <si>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</si>
  <si>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</si>
  <si>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</si>
  <si>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</si>
  <si>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</si>
  <si>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</si>
  <si>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</si>
  <si>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</si>
  <si>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</si>
  <si>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</si>
  <si>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</si>
  <si>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</si>
  <si>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</si>
  <si>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</si>
  <si>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</si>
  <si>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</si>
  <si>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</si>
  <si>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</si>
  <si>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</si>
  <si>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</si>
  <si>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</si>
  <si>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</si>
  <si>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 xml:space="preserve">CD Cam / GSC 4369-1457               </t>
  </si>
  <si>
    <t xml:space="preserve">EW        </t>
  </si>
  <si>
    <t>IBVS 5438</t>
  </si>
  <si>
    <t>I?</t>
  </si>
  <si>
    <t>IBVS 5653</t>
  </si>
  <si>
    <t>II?</t>
  </si>
  <si>
    <t>IBVS 5761</t>
  </si>
  <si>
    <t>IBVS 5781</t>
  </si>
  <si>
    <t>IBVS 5898</t>
  </si>
  <si>
    <t>II</t>
  </si>
  <si>
    <t>IBVS 5938</t>
  </si>
  <si>
    <t>IBVS 5929</t>
  </si>
  <si>
    <t>Add cycle</t>
  </si>
  <si>
    <t>Old Cycle</t>
  </si>
  <si>
    <t>IBVS 5980</t>
  </si>
  <si>
    <t>IBVS 5918</t>
  </si>
  <si>
    <t>IBVS 5959</t>
  </si>
  <si>
    <t>IBVS 6010</t>
  </si>
  <si>
    <t>JAVSO..36..171</t>
  </si>
  <si>
    <t>JAVSO..38...85</t>
  </si>
  <si>
    <t>JAVSO..40....1</t>
  </si>
  <si>
    <t>JAVSO..36..186</t>
  </si>
  <si>
    <t>JAVSO..37...44</t>
  </si>
  <si>
    <t>JAVSO..38..183</t>
  </si>
  <si>
    <t>JAVSO..39..177</t>
  </si>
  <si>
    <t>IBVS 6039</t>
  </si>
  <si>
    <t>IBVS 6050</t>
  </si>
  <si>
    <t>JAVSO..41..122</t>
  </si>
  <si>
    <t>JAVSO..40..975</t>
  </si>
  <si>
    <t>IBVS 6118</t>
  </si>
  <si>
    <t>JAVSO..42..426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</si>
  <si>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</si>
  <si>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</si>
  <si>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</si>
  <si>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</si>
  <si>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</si>
  <si>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</si>
  <si>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</si>
  <si>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</si>
  <si>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</si>
  <si>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</si>
  <si>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</si>
  <si>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2452658.425 </t>
  </si>
  <si>
    <t> 18.01.2003 22:12 </t>
  </si>
  <si>
    <t> 0.036 </t>
  </si>
  <si>
    <t>E </t>
  </si>
  <si>
    <t>?</t>
  </si>
  <si>
    <t> R.Diethelm </t>
  </si>
  <si>
    <t> BBS 129 </t>
  </si>
  <si>
    <t>2452762.6983 </t>
  </si>
  <si>
    <t> 03.05.2003 04:45 </t>
  </si>
  <si>
    <t> -0.0023 </t>
  </si>
  <si>
    <t>C </t>
  </si>
  <si>
    <t>ns</t>
  </si>
  <si>
    <t> N.Simmons </t>
  </si>
  <si>
    <t> AOEB 12 </t>
  </si>
  <si>
    <t>2452791.7396 </t>
  </si>
  <si>
    <t> 01.06.2003 05:45 </t>
  </si>
  <si>
    <t> -0.0000 </t>
  </si>
  <si>
    <t>2452979.7277 </t>
  </si>
  <si>
    <t> 06.12.2003 05:27 </t>
  </si>
  <si>
    <t> -0.0014 </t>
  </si>
  <si>
    <t> G.Samolyk </t>
  </si>
  <si>
    <t>2452986.6043 </t>
  </si>
  <si>
    <t> 13.12.2003 02:30 </t>
  </si>
  <si>
    <t> -0.0025 </t>
  </si>
  <si>
    <t>2453046.5940 </t>
  </si>
  <si>
    <t> 11.02.2004 02:15 </t>
  </si>
  <si>
    <t> -0.0013 </t>
  </si>
  <si>
    <t>2453232.6704 </t>
  </si>
  <si>
    <t> 15.08.2004 04:05 </t>
  </si>
  <si>
    <t> -0.0040 </t>
  </si>
  <si>
    <t>2453409.349 </t>
  </si>
  <si>
    <t> 07.02.2005 20:22 </t>
  </si>
  <si>
    <t> 0.148 </t>
  </si>
  <si>
    <t> R. Diethelm </t>
  </si>
  <si>
    <t>IBVS 5653 </t>
  </si>
  <si>
    <t>2453463.8404 </t>
  </si>
  <si>
    <t> 03.04.2005 08:10 </t>
  </si>
  <si>
    <t>2453712.5832 </t>
  </si>
  <si>
    <t> 08.12.2005 01:59 </t>
  </si>
  <si>
    <t> 0.0005 </t>
  </si>
  <si>
    <t>2453799.6992 </t>
  </si>
  <si>
    <t> 05.03.2006 04:46 </t>
  </si>
  <si>
    <t> -0.0006 </t>
  </si>
  <si>
    <t> R.Poklar </t>
  </si>
  <si>
    <t>2454055.6989 </t>
  </si>
  <si>
    <t> 16.11.2006 04:46 </t>
  </si>
  <si>
    <t> -0.0029 </t>
  </si>
  <si>
    <t>2454079.7730 </t>
  </si>
  <si>
    <t> 10.12.2006 06:33 </t>
  </si>
  <si>
    <t>2454091.6169 </t>
  </si>
  <si>
    <t> 22.12.2006 02:48 </t>
  </si>
  <si>
    <t> -0.0016 </t>
  </si>
  <si>
    <t>-I</t>
  </si>
  <si>
    <t> F.Agerer </t>
  </si>
  <si>
    <t>BAVM 183 </t>
  </si>
  <si>
    <t>2454134.7902 </t>
  </si>
  <si>
    <t> 03.02.2007 06:57 </t>
  </si>
  <si>
    <t>-1055.5</t>
  </si>
  <si>
    <t> -0.0047 </t>
  </si>
  <si>
    <t> J.Bialozynski </t>
  </si>
  <si>
    <t>2454173.3819 </t>
  </si>
  <si>
    <t> 13.03.2007 21:09 </t>
  </si>
  <si>
    <t>-1005</t>
  </si>
  <si>
    <t> -0.0044 </t>
  </si>
  <si>
    <t> BBS 133 (=IBVS 5781) </t>
  </si>
  <si>
    <t>2454175.6768 </t>
  </si>
  <si>
    <t> 16.03.2007 04:14 </t>
  </si>
  <si>
    <t>-1002</t>
  </si>
  <si>
    <t> -0.0020 </t>
  </si>
  <si>
    <t>2454189.4308 </t>
  </si>
  <si>
    <t> 29.03.2007 22:20 </t>
  </si>
  <si>
    <t>-984</t>
  </si>
  <si>
    <t> -0.0034 </t>
  </si>
  <si>
    <t> S.Parimucha et al. </t>
  </si>
  <si>
    <t>IBVS 5898 </t>
  </si>
  <si>
    <t>2454190.5802 </t>
  </si>
  <si>
    <t> 31.03.2007 01:55 </t>
  </si>
  <si>
    <t>-982.5</t>
  </si>
  <si>
    <t> -0.0002 </t>
  </si>
  <si>
    <t>2454191.7203 </t>
  </si>
  <si>
    <t> 01.04.2007 05:17 </t>
  </si>
  <si>
    <t>-981</t>
  </si>
  <si>
    <t> -0.0064 </t>
  </si>
  <si>
    <t>2454402.6350 </t>
  </si>
  <si>
    <t> 29.10.2007 03:14 </t>
  </si>
  <si>
    <t>-705</t>
  </si>
  <si>
    <t> -0.0068 </t>
  </si>
  <si>
    <t>JAAVSO 36(2);171 </t>
  </si>
  <si>
    <t>2454403.7855 </t>
  </si>
  <si>
    <t> 30.10.2007 06:51 </t>
  </si>
  <si>
    <t>-703.5</t>
  </si>
  <si>
    <t> -0.0026 </t>
  </si>
  <si>
    <t>2454554.7151 </t>
  </si>
  <si>
    <t> 29.03.2008 05:09 </t>
  </si>
  <si>
    <t>-506</t>
  </si>
  <si>
    <t>o</t>
  </si>
  <si>
    <t>JAAVSO 36(2);186 </t>
  </si>
  <si>
    <t>2454559.6809 </t>
  </si>
  <si>
    <t> 03.04.2008 04:20 </t>
  </si>
  <si>
    <t>-499.5</t>
  </si>
  <si>
    <t> -0.0009 </t>
  </si>
  <si>
    <t>2454771.7476 </t>
  </si>
  <si>
    <t> 01.11.2008 05:56 </t>
  </si>
  <si>
    <t>-222</t>
  </si>
  <si>
    <t> 0.0044 </t>
  </si>
  <si>
    <t>JAAVSO 37(1);44 </t>
  </si>
  <si>
    <t>2454844.3403 </t>
  </si>
  <si>
    <t> 12.01.2009 20:10 </t>
  </si>
  <si>
    <t>-127</t>
  </si>
  <si>
    <t> -0.0005 </t>
  </si>
  <si>
    <t>BAVM 209 </t>
  </si>
  <si>
    <t>2454883.6928 </t>
  </si>
  <si>
    <t> 21.02.2009 04:37 </t>
  </si>
  <si>
    <t>-75.5</t>
  </si>
  <si>
    <t> -0.0035 </t>
  </si>
  <si>
    <t> S.Dvorak </t>
  </si>
  <si>
    <t>IBVS 5938 </t>
  </si>
  <si>
    <t>2454892.4839 </t>
  </si>
  <si>
    <t> 01.03.2009 23:36 </t>
  </si>
  <si>
    <t>-64</t>
  </si>
  <si>
    <t>2454896.6875 </t>
  </si>
  <si>
    <t> 06.03.2009 04:30 </t>
  </si>
  <si>
    <t>-58.5</t>
  </si>
  <si>
    <t> 0.0000 </t>
  </si>
  <si>
    <t>2454933.7449 </t>
  </si>
  <si>
    <t> 12.04.2009 05:52 </t>
  </si>
  <si>
    <t>-10</t>
  </si>
  <si>
    <t> -0.0055 </t>
  </si>
  <si>
    <t> JAAVSO 38;85 </t>
  </si>
  <si>
    <t>2454941.3923 </t>
  </si>
  <si>
    <t> 19.04.2009 21:24 </t>
  </si>
  <si>
    <t>0</t>
  </si>
  <si>
    <t>2455105.6877 </t>
  </si>
  <si>
    <t> 01.10.2009 04:30 </t>
  </si>
  <si>
    <t>215</t>
  </si>
  <si>
    <t> JAAVSO 38;120 </t>
  </si>
  <si>
    <t>2455166.825 </t>
  </si>
  <si>
    <t> 01.12.2009 07:48 </t>
  </si>
  <si>
    <t>295</t>
  </si>
  <si>
    <t> -0.002 </t>
  </si>
  <si>
    <t> R.Nelson </t>
  </si>
  <si>
    <t>IBVS 5929 </t>
  </si>
  <si>
    <t>2455211.5301 </t>
  </si>
  <si>
    <t> 15.01.2010 00:43 </t>
  </si>
  <si>
    <t>353.5</t>
  </si>
  <si>
    <t>IBVS 5980 </t>
  </si>
  <si>
    <t>2455246.6840 </t>
  </si>
  <si>
    <t> 19.02.2010 04:24 </t>
  </si>
  <si>
    <t>399.5</t>
  </si>
  <si>
    <t>2455263.4925 </t>
  </si>
  <si>
    <t> 07.03.2010 23:49 </t>
  </si>
  <si>
    <t>421.5</t>
  </si>
  <si>
    <t> -0.0038 </t>
  </si>
  <si>
    <t>2455263.4969 </t>
  </si>
  <si>
    <t> 07.03.2010 23:55 </t>
  </si>
  <si>
    <t> 0.0006 </t>
  </si>
  <si>
    <t>BAVM 214 </t>
  </si>
  <si>
    <t>2455265.4027 </t>
  </si>
  <si>
    <t> 09.03.2010 21:39 </t>
  </si>
  <si>
    <t>424</t>
  </si>
  <si>
    <t> -0.0041 </t>
  </si>
  <si>
    <t>2455372.3935 </t>
  </si>
  <si>
    <t> 24.06.2010 21:26 </t>
  </si>
  <si>
    <t>564</t>
  </si>
  <si>
    <t> 0.0008 </t>
  </si>
  <si>
    <t>m</t>
  </si>
  <si>
    <t> G.Saral </t>
  </si>
  <si>
    <t>IBVS 6039 </t>
  </si>
  <si>
    <t>2455501.5353 </t>
  </si>
  <si>
    <t> 01.11.2010 00:50 </t>
  </si>
  <si>
    <t>733</t>
  </si>
  <si>
    <t>R</t>
  </si>
  <si>
    <t>2455544.7090 </t>
  </si>
  <si>
    <t> 14.12.2010 05:00 </t>
  </si>
  <si>
    <t>789.5</t>
  </si>
  <si>
    <t> -0.0074 </t>
  </si>
  <si>
    <t> JAAVSO 39;177 </t>
  </si>
  <si>
    <t>2455644.4373 </t>
  </si>
  <si>
    <t> 23.03.2011 22:29 </t>
  </si>
  <si>
    <t>920</t>
  </si>
  <si>
    <t> -0.0053 </t>
  </si>
  <si>
    <t>BAVM 220 </t>
  </si>
  <si>
    <t>2455887.4455 </t>
  </si>
  <si>
    <t> 21.11.2011 22:41 </t>
  </si>
  <si>
    <t>1238</t>
  </si>
  <si>
    <t> -0.0080 </t>
  </si>
  <si>
    <t>BAVM 225 </t>
  </si>
  <si>
    <t>2455905.7874 </t>
  </si>
  <si>
    <t> 10.12.2011 06:53 </t>
  </si>
  <si>
    <t>1262</t>
  </si>
  <si>
    <t> -0.0065 </t>
  </si>
  <si>
    <t> JAAVSO 40;975 </t>
  </si>
  <si>
    <t>2455928.7154 </t>
  </si>
  <si>
    <t> 02.01.2012 05:10 </t>
  </si>
  <si>
    <t>1292</t>
  </si>
  <si>
    <t> JAAVSO 41;122 </t>
  </si>
  <si>
    <t>2455939.7940 </t>
  </si>
  <si>
    <t> 13.01.2012 07:03 </t>
  </si>
  <si>
    <t>1306.5</t>
  </si>
  <si>
    <t> -0.0061 </t>
  </si>
  <si>
    <t>IBVS 6050 </t>
  </si>
  <si>
    <t>2456195.7954 </t>
  </si>
  <si>
    <t> 25.09.2012 07:05 </t>
  </si>
  <si>
    <t>1641.5</t>
  </si>
  <si>
    <t> -0.0067 </t>
  </si>
  <si>
    <t>2456603.8673 </t>
  </si>
  <si>
    <t> 07.11.2013 08:48 </t>
  </si>
  <si>
    <t>2175.5</t>
  </si>
  <si>
    <t> -0.0097 </t>
  </si>
  <si>
    <t> JAAVSO 42;426 </t>
  </si>
  <si>
    <t>2456654.3046 </t>
  </si>
  <si>
    <t> 27.12.2013 19:18 </t>
  </si>
  <si>
    <t>2241.5</t>
  </si>
  <si>
    <t> -0.0086 </t>
  </si>
  <si>
    <t>BAVM 234 </t>
  </si>
  <si>
    <t>2456654.6885 </t>
  </si>
  <si>
    <t> 28.12.2013 04:31 </t>
  </si>
  <si>
    <t>2242</t>
  </si>
  <si>
    <t>2456924.8240 </t>
  </si>
  <si>
    <t> 24.09.2014 07:46 </t>
  </si>
  <si>
    <t>2595.5</t>
  </si>
  <si>
    <t> -0.0107 </t>
  </si>
  <si>
    <t>BAD?</t>
  </si>
  <si>
    <t>IBVS 6167</t>
  </si>
  <si>
    <t>OEJV 0179</t>
  </si>
  <si>
    <t>JAVSO..44…69</t>
  </si>
  <si>
    <t>JAVSO..45..121</t>
  </si>
  <si>
    <t>JAVSO..45..215</t>
  </si>
  <si>
    <t>JAVSO..46…79 (2018)</t>
  </si>
  <si>
    <t>JAVSO..46..184</t>
  </si>
  <si>
    <t>JAVSO..47..263</t>
  </si>
  <si>
    <t>JAVSO..48…87</t>
  </si>
  <si>
    <t>JAVSO..48..256</t>
  </si>
  <si>
    <t>OEJV 0211</t>
  </si>
  <si>
    <t>JAVSO 49, 108</t>
  </si>
  <si>
    <t>JAVSO, 50, 133</t>
  </si>
  <si>
    <t>BAAVSSC193</t>
  </si>
  <si>
    <t>BAAVSSC188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</si>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</sst>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name val="Arial Unicode MS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6" fillId="0" borderId="0"/>
    <xf numFmtId="0" fontId="28" fillId="0" borderId="0"/>
    <xf numFmtId="0" fontId="28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39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9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>
      <alignment vertical="top"/>
    </xf>
    <xf numFmtId="0" fontId="17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>
      <alignment vertical="top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0" borderId="0" xfId="0" applyFont="1" applyAlignment="1"/>
    <xf numFmtId="0" fontId="40" fillId="0" borderId="0" xfId="42" applyFont="1" applyAlignment="1">
      <alignment wrapText="1"/>
    </xf>
    <xf numFmtId="0" fontId="40" fillId="0" borderId="0" xfId="42" applyFont="1" applyAlignment="1">
      <alignment horizontal="center" wrapText="1"/>
    </xf>
    <xf numFmtId="0" fontId="40" fillId="0" borderId="0" xfId="42" applyFont="1" applyAlignment="1">
      <alignment horizontal="left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38" fillId="0" borderId="0" xfId="0" applyFont="1">
      <alignment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38" fillId="0" borderId="0" xfId="0" applyFont="1" applyAlignment="1"/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165" fontId="41" fillId="0" borderId="0" xfId="0" applyNumberFormat="1" applyFont="1" applyAlignment="1">
      <alignment horizontal="right" vertical="center" wrapText="1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165" fontId="4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40" fillId="0" borderId="0" xfId="42" applyFont="1" applyAlignment="1">
      <alignment horizontal="right" wrapText="1"/>
    </xf>
    <xf numFmtId="0" fontId="5" fillId="0" borderId="0" xfId="43" applyFont="1" applyAlignment="1">
      <alignment horizontal="right"/>
    </xf>
    <xf numFmtId="0" fontId="38" fillId="0" borderId="0" xfId="42" applyFont="1" applyAlignment="1">
      <alignment horizontal="right"/>
    </xf>
    <xf numFmtId="0" fontId="5" fillId="0" borderId="0" xfId="42" applyFont="1" applyAlignment="1">
      <alignment horizontal="right"/>
    </xf>
    <xf numFmtId="0" fontId="5" fillId="0" borderId="0" xfId="42" applyFont="1" applyAlignment="1">
      <alignment horizontal="right" vertical="center"/>
    </xf>
    <xf numFmtId="0" fontId="38" fillId="0" borderId="0" xfId="0" applyFont="1" applyAlignment="1">
      <alignment horizontal="right"/>
    </xf>
    <xf numFmtId="0" fontId="41" fillId="0" borderId="0" xfId="0" applyFont="1" applyAlignment="1">
      <alignment horizontal="righ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CD Cam - O-C Diagr.</a:t>
            </a:r>
          </a:p>
        </c:rich>
      </c:tx>
      <c:layout>
        <c:manualLayout>
          <c:xMode val="edge"/>
          <c:yMode val="edge"/>
          <c:x val="0.37519656196821549"/>
          <c:y val="3.4782582001811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683211007415"/>
          <c:y val="0.13913082860855019"/>
          <c:w val="0.80847785677327866"/>
          <c:h val="0.6492772001732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Active!$D$21:$D$217</c:f>
                <c:numCache>
                  <c:formatCode>General</c:formatCode>
                  <c:ptCount val="19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Active!$D$21:$D$217</c:f>
                <c:numCache>
                  <c:formatCode>General</c:formatCode>
                  <c:ptCount val="19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Active!$H$21:$H$977</c:f>
              <c:numCache>
                <c:formatCode>General</c:formatCode>
                <c:ptCount val="95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35-425B-8165-12562ADDA53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Active!$I$21:$I$977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35-425B-8165-12562ADDA53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Active!$J$21:$J$977</c:f>
              <c:numCache>
                <c:formatCode>General</c:formatCode>
                <c:ptCount val="957"/>
                <c:pt idx="14">
                  <c:v>1.3955999966128729E-3</c:v>
                </c:pt>
                <c:pt idx="26">
                  <c:v>3.3585999990464188E-3</c:v>
                </c:pt>
                <c:pt idx="37">
                  <c:v>4.9248999930568971E-3</c:v>
                </c:pt>
                <c:pt idx="42">
                  <c:v>-4.9880000733537599E-4</c:v>
                </c:pt>
                <c:pt idx="50">
                  <c:v>-2.619099999719765E-3</c:v>
                </c:pt>
                <c:pt idx="51">
                  <c:v>-8.1120000686496496E-4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35-425B-8165-12562ADDA53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Active!$K$21:$K$977</c:f>
              <c:numCache>
                <c:formatCode>General</c:formatCode>
                <c:ptCount val="957"/>
                <c:pt idx="2">
                  <c:v>-8.8060000416589901E-4</c:v>
                </c:pt>
                <c:pt idx="3">
                  <c:v>1.4197999989846721E-3</c:v>
                </c:pt>
                <c:pt idx="4">
                  <c:v>2.0660000154748559E-4</c:v>
                </c:pt>
                <c:pt idx="5">
                  <c:v>-8.5120000585447997E-4</c:v>
                </c:pt>
                <c:pt idx="6">
                  <c:v>3.890999942086637E-4</c:v>
                </c:pt>
                <c:pt idx="7">
                  <c:v>-2.0635999972000718E-3</c:v>
                </c:pt>
                <c:pt idx="9">
                  <c:v>2.2159000000101514E-3</c:v>
                </c:pt>
                <c:pt idx="10">
                  <c:v>3.0588000008719973E-3</c:v>
                </c:pt>
                <c:pt idx="11">
                  <c:v>2.0599999988917261E-3</c:v>
                </c:pt>
                <c:pt idx="12">
                  <c:v>5.3000003390479833E-5</c:v>
                </c:pt>
                <c:pt idx="13">
                  <c:v>2.3507000005338341E-3</c:v>
                </c:pt>
                <c:pt idx="15">
                  <c:v>-1.7117000024882145E-3</c:v>
                </c:pt>
                <c:pt idx="16">
                  <c:v>-1.3137999994796701E-3</c:v>
                </c:pt>
                <c:pt idx="17">
                  <c:v>1.0335999977542087E-3</c:v>
                </c:pt>
                <c:pt idx="18">
                  <c:v>-2.8200000087963417E-4</c:v>
                </c:pt>
                <c:pt idx="19">
                  <c:v>2.8416999921319075E-3</c:v>
                </c:pt>
                <c:pt idx="20">
                  <c:v>-3.3345999981975183E-3</c:v>
                </c:pt>
                <c:pt idx="21">
                  <c:v>-3.4738000031211413E-3</c:v>
                </c:pt>
                <c:pt idx="22">
                  <c:v>7.4989999848185107E-4</c:v>
                </c:pt>
                <c:pt idx="23">
                  <c:v>3.9704000009805895E-3</c:v>
                </c:pt>
                <c:pt idx="24">
                  <c:v>2.5730999986990355E-3</c:v>
                </c:pt>
                <c:pt idx="25">
                  <c:v>8.1576000011409633E-3</c:v>
                </c:pt>
                <c:pt idx="27">
                  <c:v>3.7229999725241214E-4</c:v>
                </c:pt>
                <c:pt idx="28">
                  <c:v>3.3539999931235798E-3</c:v>
                </c:pt>
                <c:pt idx="29">
                  <c:v>3.9408999946317635E-3</c:v>
                </c:pt>
                <c:pt idx="30">
                  <c:v>-1.5928000066196546E-3</c:v>
                </c:pt>
                <c:pt idx="31">
                  <c:v>3.9651999977650121E-3</c:v>
                </c:pt>
                <c:pt idx="32">
                  <c:v>-2.3779999901307747E-4</c:v>
                </c:pt>
                <c:pt idx="33">
                  <c:v>2.3261999958776869E-3</c:v>
                </c:pt>
                <c:pt idx="34">
                  <c:v>2.6504999987082556E-3</c:v>
                </c:pt>
                <c:pt idx="35">
                  <c:v>4.077300000062678E-3</c:v>
                </c:pt>
                <c:pt idx="36">
                  <c:v>5.2489999507088214E-4</c:v>
                </c:pt>
                <c:pt idx="38">
                  <c:v>2.6439999783178791E-4</c:v>
                </c:pt>
                <c:pt idx="39">
                  <c:v>5.2763999919989146E-3</c:v>
                </c:pt>
                <c:pt idx="40">
                  <c:v>-5.3399999160319567E-5</c:v>
                </c:pt>
                <c:pt idx="41">
                  <c:v>-2.7607000010902993E-3</c:v>
                </c:pt>
                <c:pt idx="43">
                  <c:v>-2.8744000010192394E-3</c:v>
                </c:pt>
                <c:pt idx="44">
                  <c:v>-1.3952000008430332E-3</c:v>
                </c:pt>
                <c:pt idx="45">
                  <c:v>-1.3952000008430332E-3</c:v>
                </c:pt>
                <c:pt idx="46">
                  <c:v>1.0787999999593012E-3</c:v>
                </c:pt>
                <c:pt idx="47">
                  <c:v>-9.9210000189486891E-4</c:v>
                </c:pt>
                <c:pt idx="48">
                  <c:v>-1.2990999966859818E-3</c:v>
                </c:pt>
                <c:pt idx="49">
                  <c:v>-3.7619000067934394E-3</c:v>
                </c:pt>
                <c:pt idx="52">
                  <c:v>1.8848000036086887E-3</c:v>
                </c:pt>
                <c:pt idx="53">
                  <c:v>-4.4258999987505376E-3</c:v>
                </c:pt>
                <c:pt idx="54">
                  <c:v>-6.7524000041885301E-3</c:v>
                </c:pt>
                <c:pt idx="55">
                  <c:v>-7.2416000039083883E-3</c:v>
                </c:pt>
                <c:pt idx="57">
                  <c:v>-7.7518999969470315E-3</c:v>
                </c:pt>
                <c:pt idx="58">
                  <c:v>-6.9299000024329871E-3</c:v>
                </c:pt>
                <c:pt idx="59">
                  <c:v>-4.3260000020381995E-3</c:v>
                </c:pt>
                <c:pt idx="60">
                  <c:v>-9.8128000026918016E-3</c:v>
                </c:pt>
                <c:pt idx="61">
                  <c:v>-6.325000045762863E-3</c:v>
                </c:pt>
                <c:pt idx="62">
                  <c:v>-7.6900000058230944E-3</c:v>
                </c:pt>
                <c:pt idx="63">
                  <c:v>-1.4965200003643986E-2</c:v>
                </c:pt>
                <c:pt idx="64">
                  <c:v>-1.1367500002961606E-2</c:v>
                </c:pt>
                <c:pt idx="65">
                  <c:v>-1.095050000003539E-2</c:v>
                </c:pt>
                <c:pt idx="66">
                  <c:v>-1.3962500001071021E-2</c:v>
                </c:pt>
                <c:pt idx="67">
                  <c:v>-1.6988499999570195E-2</c:v>
                </c:pt>
                <c:pt idx="68">
                  <c:v>-1.23539999985951E-2</c:v>
                </c:pt>
                <c:pt idx="69">
                  <c:v>-1.4385400005267002E-2</c:v>
                </c:pt>
                <c:pt idx="70">
                  <c:v>-1.6271799999231007E-2</c:v>
                </c:pt>
                <c:pt idx="71">
                  <c:v>-1.7023000000335742E-2</c:v>
                </c:pt>
                <c:pt idx="72">
                  <c:v>-1.5809100004844368E-2</c:v>
                </c:pt>
                <c:pt idx="73">
                  <c:v>-1.8858300005376805E-2</c:v>
                </c:pt>
                <c:pt idx="74">
                  <c:v>-1.9734199930098839E-2</c:v>
                </c:pt>
                <c:pt idx="75">
                  <c:v>-2.2592799999983981E-2</c:v>
                </c:pt>
                <c:pt idx="76">
                  <c:v>-2.5226899997505825E-2</c:v>
                </c:pt>
                <c:pt idx="77">
                  <c:v>-2.4654099928739015E-2</c:v>
                </c:pt>
                <c:pt idx="78">
                  <c:v>-2.7308400007314049E-2</c:v>
                </c:pt>
                <c:pt idx="79">
                  <c:v>-2.4922399999923073E-2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35-425B-8165-12562ADDA53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Active!$L$21:$L$977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35-425B-8165-12562ADDA53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Active!$M$21:$M$977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35-425B-8165-12562ADDA53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Active!$N$21:$N$977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35-425B-8165-12562ADDA53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Active!$O$21:$O$977</c:f>
              <c:numCache>
                <c:formatCode>General</c:formatCode>
                <c:ptCount val="957"/>
                <c:pt idx="0">
                  <c:v>2.8950828606626153E-2</c:v>
                </c:pt>
                <c:pt idx="1">
                  <c:v>2.7798424016388074E-2</c:v>
                </c:pt>
                <c:pt idx="2">
                  <c:v>2.7036665049959514E-2</c:v>
                </c:pt>
                <c:pt idx="3">
                  <c:v>2.6824600282748634E-2</c:v>
                </c:pt>
                <c:pt idx="4">
                  <c:v>2.5451759947646611E-2</c:v>
                </c:pt>
                <c:pt idx="5">
                  <c:v>2.5401534081728246E-2</c:v>
                </c:pt>
                <c:pt idx="6">
                  <c:v>2.4963452917884713E-2</c:v>
                </c:pt>
                <c:pt idx="7">
                  <c:v>2.360456421220446E-2</c:v>
                </c:pt>
                <c:pt idx="8">
                  <c:v>2.2315433653633053E-2</c:v>
                </c:pt>
                <c:pt idx="9">
                  <c:v>2.191641705217047E-2</c:v>
                </c:pt>
                <c:pt idx="10">
                  <c:v>2.0099914901456212E-2</c:v>
                </c:pt>
                <c:pt idx="11">
                  <c:v>1.946372059982357E-2</c:v>
                </c:pt>
                <c:pt idx="12">
                  <c:v>1.7594202257306589E-2</c:v>
                </c:pt>
                <c:pt idx="13">
                  <c:v>1.7418411726592305E-2</c:v>
                </c:pt>
                <c:pt idx="14">
                  <c:v>1.733191162417734E-2</c:v>
                </c:pt>
                <c:pt idx="15">
                  <c:v>1.7016604799245372E-2</c:v>
                </c:pt>
                <c:pt idx="16">
                  <c:v>1.6734781884925647E-2</c:v>
                </c:pt>
                <c:pt idx="17">
                  <c:v>1.6718039929619524E-2</c:v>
                </c:pt>
                <c:pt idx="18">
                  <c:v>1.6617588197782793E-2</c:v>
                </c:pt>
                <c:pt idx="19">
                  <c:v>1.6609217220129729E-2</c:v>
                </c:pt>
                <c:pt idx="20">
                  <c:v>1.660084624247667E-2</c:v>
                </c:pt>
                <c:pt idx="21">
                  <c:v>1.5060586354313427E-2</c:v>
                </c:pt>
                <c:pt idx="22">
                  <c:v>1.5052215376660367E-2</c:v>
                </c:pt>
                <c:pt idx="23">
                  <c:v>1.3950036652340654E-2</c:v>
                </c:pt>
                <c:pt idx="24">
                  <c:v>1.3913762415844055E-2</c:v>
                </c:pt>
                <c:pt idx="25">
                  <c:v>1.236513155002775E-2</c:v>
                </c:pt>
                <c:pt idx="26">
                  <c:v>1.183496963200055E-2</c:v>
                </c:pt>
                <c:pt idx="27">
                  <c:v>1.1547566065912118E-2</c:v>
                </c:pt>
                <c:pt idx="28">
                  <c:v>1.1483388570571983E-2</c:v>
                </c:pt>
                <c:pt idx="29">
                  <c:v>1.145269498584409E-2</c:v>
                </c:pt>
                <c:pt idx="30">
                  <c:v>1.1182033375061781E-2</c:v>
                </c:pt>
                <c:pt idx="31">
                  <c:v>1.1126226857374709E-2</c:v>
                </c:pt>
                <c:pt idx="32">
                  <c:v>9.9263867271026165E-3</c:v>
                </c:pt>
                <c:pt idx="33">
                  <c:v>9.4799345856060244E-3</c:v>
                </c:pt>
                <c:pt idx="34">
                  <c:v>9.15346645713664E-3</c:v>
                </c:pt>
                <c:pt idx="35">
                  <c:v>8.8967564757761013E-3</c:v>
                </c:pt>
                <c:pt idx="36">
                  <c:v>8.7739821368645367E-3</c:v>
                </c:pt>
                <c:pt idx="37">
                  <c:v>8.7739821368645367E-3</c:v>
                </c:pt>
                <c:pt idx="38">
                  <c:v>8.7600305074427703E-3</c:v>
                </c:pt>
                <c:pt idx="39">
                  <c:v>7.978739259823734E-3</c:v>
                </c:pt>
                <c:pt idx="40">
                  <c:v>7.0356091109121804E-3</c:v>
                </c:pt>
                <c:pt idx="41">
                  <c:v>6.7203022859802126E-3</c:v>
                </c:pt>
                <c:pt idx="42">
                  <c:v>5.9920272301638954E-3</c:v>
                </c:pt>
                <c:pt idx="43">
                  <c:v>4.2173799677149432E-3</c:v>
                </c:pt>
                <c:pt idx="44">
                  <c:v>4.0834443252659655E-3</c:v>
                </c:pt>
                <c:pt idx="45">
                  <c:v>4.0834443252659655E-3</c:v>
                </c:pt>
                <c:pt idx="46">
                  <c:v>3.9160247722047417E-3</c:v>
                </c:pt>
                <c:pt idx="47">
                  <c:v>3.8351053215584865E-3</c:v>
                </c:pt>
                <c:pt idx="48">
                  <c:v>1.9655869790415059E-3</c:v>
                </c:pt>
                <c:pt idx="49">
                  <c:v>-1.0144810654482486E-3</c:v>
                </c:pt>
                <c:pt idx="50">
                  <c:v>-1.3828040821829354E-3</c:v>
                </c:pt>
                <c:pt idx="51">
                  <c:v>-1.3855944080672887E-3</c:v>
                </c:pt>
                <c:pt idx="52">
                  <c:v>-2.055272620312177E-3</c:v>
                </c:pt>
                <c:pt idx="53">
                  <c:v>-3.3583548083053576E-3</c:v>
                </c:pt>
                <c:pt idx="54">
                  <c:v>-4.6558563445298247E-3</c:v>
                </c:pt>
                <c:pt idx="55">
                  <c:v>-4.8009532905162224E-3</c:v>
                </c:pt>
                <c:pt idx="56">
                  <c:v>-6.0733418937815066E-3</c:v>
                </c:pt>
                <c:pt idx="57">
                  <c:v>-6.316100245720279E-3</c:v>
                </c:pt>
                <c:pt idx="58">
                  <c:v>-6.8183589049039435E-3</c:v>
                </c:pt>
                <c:pt idx="59">
                  <c:v>-6.9327622661624518E-3</c:v>
                </c:pt>
                <c:pt idx="60">
                  <c:v>-8.9083129922848704E-3</c:v>
                </c:pt>
                <c:pt idx="61">
                  <c:v>-9.4161523032372414E-3</c:v>
                </c:pt>
                <c:pt idx="62">
                  <c:v>-9.8347011858903009E-3</c:v>
                </c:pt>
                <c:pt idx="63">
                  <c:v>-1.1821413215550133E-2</c:v>
                </c:pt>
                <c:pt idx="64">
                  <c:v>-1.199720374626442E-2</c:v>
                </c:pt>
                <c:pt idx="65">
                  <c:v>-1.2638978699665768E-2</c:v>
                </c:pt>
                <c:pt idx="66">
                  <c:v>-1.4648013336400433E-2</c:v>
                </c:pt>
                <c:pt idx="67">
                  <c:v>-1.4815432889461657E-2</c:v>
                </c:pt>
                <c:pt idx="68">
                  <c:v>-1.4968900813101111E-2</c:v>
                </c:pt>
                <c:pt idx="69">
                  <c:v>-1.5063771893169136E-2</c:v>
                </c:pt>
                <c:pt idx="70">
                  <c:v>-1.6693322209631694E-2</c:v>
                </c:pt>
                <c:pt idx="71">
                  <c:v>-1.7452290850175901E-2</c:v>
                </c:pt>
                <c:pt idx="72">
                  <c:v>-1.7845726799869777E-2</c:v>
                </c:pt>
                <c:pt idx="73">
                  <c:v>-1.9665019276468392E-2</c:v>
                </c:pt>
                <c:pt idx="74">
                  <c:v>-2.0443520198203068E-2</c:v>
                </c:pt>
                <c:pt idx="75">
                  <c:v>-2.2301877237182636E-2</c:v>
                </c:pt>
                <c:pt idx="76">
                  <c:v>-2.2360474080754065E-2</c:v>
                </c:pt>
                <c:pt idx="77">
                  <c:v>-2.300782968592412E-2</c:v>
                </c:pt>
                <c:pt idx="78">
                  <c:v>-2.5192654853373072E-2</c:v>
                </c:pt>
                <c:pt idx="79">
                  <c:v>-2.6141365654053329E-2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35-425B-8165-12562ADD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59808"/>
        <c:axId val="1"/>
      </c:scatterChart>
      <c:valAx>
        <c:axId val="449259808"/>
        <c:scaling>
          <c:orientation val="minMax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61257452708521"/>
              <c:y val="0.84348083682522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235478806907381E-2"/>
              <c:y val="0.3768129422418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259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46798271095233"/>
          <c:y val="0.92464029715583795"/>
          <c:w val="0.65620143635891659"/>
          <c:h val="5.79711746557995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CD Cam - O-C Diagr.</a:t>
            </a:r>
          </a:p>
        </c:rich>
      </c:tx>
      <c:layout>
        <c:manualLayout>
          <c:xMode val="edge"/>
          <c:yMode val="edge"/>
          <c:x val="0.38045112781954887"/>
          <c:y val="3.468209330976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872851947553438"/>
          <c:w val="0.82406015037593983"/>
          <c:h val="0.6502899350415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Active!$D$21:$D$217</c:f>
                <c:numCache>
                  <c:formatCode>General</c:formatCode>
                  <c:ptCount val="19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Active!$D$21:$D$217</c:f>
                <c:numCache>
                  <c:formatCode>General</c:formatCode>
                  <c:ptCount val="19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Active!$H$21:$H$977</c:f>
              <c:numCache>
                <c:formatCode>General</c:formatCode>
                <c:ptCount val="95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7-47EC-BFE0-BABE2C21718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Active!$I$21:$I$977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37-47EC-BFE0-BABE2C21718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Active!$J$21:$J$977</c:f>
              <c:numCache>
                <c:formatCode>General</c:formatCode>
                <c:ptCount val="957"/>
                <c:pt idx="14">
                  <c:v>1.3955999966128729E-3</c:v>
                </c:pt>
                <c:pt idx="26">
                  <c:v>3.3585999990464188E-3</c:v>
                </c:pt>
                <c:pt idx="37">
                  <c:v>4.9248999930568971E-3</c:v>
                </c:pt>
                <c:pt idx="42">
                  <c:v>-4.9880000733537599E-4</c:v>
                </c:pt>
                <c:pt idx="50">
                  <c:v>-2.619099999719765E-3</c:v>
                </c:pt>
                <c:pt idx="51">
                  <c:v>-8.1120000686496496E-4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37-47EC-BFE0-BABE2C21718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Active!$K$21:$K$977</c:f>
              <c:numCache>
                <c:formatCode>General</c:formatCode>
                <c:ptCount val="957"/>
                <c:pt idx="2">
                  <c:v>-8.8060000416589901E-4</c:v>
                </c:pt>
                <c:pt idx="3">
                  <c:v>1.4197999989846721E-3</c:v>
                </c:pt>
                <c:pt idx="4">
                  <c:v>2.0660000154748559E-4</c:v>
                </c:pt>
                <c:pt idx="5">
                  <c:v>-8.5120000585447997E-4</c:v>
                </c:pt>
                <c:pt idx="6">
                  <c:v>3.890999942086637E-4</c:v>
                </c:pt>
                <c:pt idx="7">
                  <c:v>-2.0635999972000718E-3</c:v>
                </c:pt>
                <c:pt idx="9">
                  <c:v>2.2159000000101514E-3</c:v>
                </c:pt>
                <c:pt idx="10">
                  <c:v>3.0588000008719973E-3</c:v>
                </c:pt>
                <c:pt idx="11">
                  <c:v>2.0599999988917261E-3</c:v>
                </c:pt>
                <c:pt idx="12">
                  <c:v>5.3000003390479833E-5</c:v>
                </c:pt>
                <c:pt idx="13">
                  <c:v>2.3507000005338341E-3</c:v>
                </c:pt>
                <c:pt idx="15">
                  <c:v>-1.7117000024882145E-3</c:v>
                </c:pt>
                <c:pt idx="16">
                  <c:v>-1.3137999994796701E-3</c:v>
                </c:pt>
                <c:pt idx="17">
                  <c:v>1.0335999977542087E-3</c:v>
                </c:pt>
                <c:pt idx="18">
                  <c:v>-2.8200000087963417E-4</c:v>
                </c:pt>
                <c:pt idx="19">
                  <c:v>2.8416999921319075E-3</c:v>
                </c:pt>
                <c:pt idx="20">
                  <c:v>-3.3345999981975183E-3</c:v>
                </c:pt>
                <c:pt idx="21">
                  <c:v>-3.4738000031211413E-3</c:v>
                </c:pt>
                <c:pt idx="22">
                  <c:v>7.4989999848185107E-4</c:v>
                </c:pt>
                <c:pt idx="23">
                  <c:v>3.9704000009805895E-3</c:v>
                </c:pt>
                <c:pt idx="24">
                  <c:v>2.5730999986990355E-3</c:v>
                </c:pt>
                <c:pt idx="25">
                  <c:v>8.1576000011409633E-3</c:v>
                </c:pt>
                <c:pt idx="27">
                  <c:v>3.7229999725241214E-4</c:v>
                </c:pt>
                <c:pt idx="28">
                  <c:v>3.3539999931235798E-3</c:v>
                </c:pt>
                <c:pt idx="29">
                  <c:v>3.9408999946317635E-3</c:v>
                </c:pt>
                <c:pt idx="30">
                  <c:v>-1.5928000066196546E-3</c:v>
                </c:pt>
                <c:pt idx="31">
                  <c:v>3.9651999977650121E-3</c:v>
                </c:pt>
                <c:pt idx="32">
                  <c:v>-2.3779999901307747E-4</c:v>
                </c:pt>
                <c:pt idx="33">
                  <c:v>2.3261999958776869E-3</c:v>
                </c:pt>
                <c:pt idx="34">
                  <c:v>2.6504999987082556E-3</c:v>
                </c:pt>
                <c:pt idx="35">
                  <c:v>4.077300000062678E-3</c:v>
                </c:pt>
                <c:pt idx="36">
                  <c:v>5.2489999507088214E-4</c:v>
                </c:pt>
                <c:pt idx="38">
                  <c:v>2.6439999783178791E-4</c:v>
                </c:pt>
                <c:pt idx="39">
                  <c:v>5.2763999919989146E-3</c:v>
                </c:pt>
                <c:pt idx="40">
                  <c:v>-5.3399999160319567E-5</c:v>
                </c:pt>
                <c:pt idx="41">
                  <c:v>-2.7607000010902993E-3</c:v>
                </c:pt>
                <c:pt idx="43">
                  <c:v>-2.8744000010192394E-3</c:v>
                </c:pt>
                <c:pt idx="44">
                  <c:v>-1.3952000008430332E-3</c:v>
                </c:pt>
                <c:pt idx="45">
                  <c:v>-1.3952000008430332E-3</c:v>
                </c:pt>
                <c:pt idx="46">
                  <c:v>1.0787999999593012E-3</c:v>
                </c:pt>
                <c:pt idx="47">
                  <c:v>-9.9210000189486891E-4</c:v>
                </c:pt>
                <c:pt idx="48">
                  <c:v>-1.2990999966859818E-3</c:v>
                </c:pt>
                <c:pt idx="49">
                  <c:v>-3.7619000067934394E-3</c:v>
                </c:pt>
                <c:pt idx="52">
                  <c:v>1.8848000036086887E-3</c:v>
                </c:pt>
                <c:pt idx="53">
                  <c:v>-4.4258999987505376E-3</c:v>
                </c:pt>
                <c:pt idx="54">
                  <c:v>-6.7524000041885301E-3</c:v>
                </c:pt>
                <c:pt idx="55">
                  <c:v>-7.2416000039083883E-3</c:v>
                </c:pt>
                <c:pt idx="57">
                  <c:v>-7.7518999969470315E-3</c:v>
                </c:pt>
                <c:pt idx="58">
                  <c:v>-6.9299000024329871E-3</c:v>
                </c:pt>
                <c:pt idx="59">
                  <c:v>-4.3260000020381995E-3</c:v>
                </c:pt>
                <c:pt idx="60">
                  <c:v>-9.8128000026918016E-3</c:v>
                </c:pt>
                <c:pt idx="61">
                  <c:v>-6.325000045762863E-3</c:v>
                </c:pt>
                <c:pt idx="62">
                  <c:v>-7.6900000058230944E-3</c:v>
                </c:pt>
                <c:pt idx="63">
                  <c:v>-1.4965200003643986E-2</c:v>
                </c:pt>
                <c:pt idx="64">
                  <c:v>-1.1367500002961606E-2</c:v>
                </c:pt>
                <c:pt idx="65">
                  <c:v>-1.095050000003539E-2</c:v>
                </c:pt>
                <c:pt idx="66">
                  <c:v>-1.3962500001071021E-2</c:v>
                </c:pt>
                <c:pt idx="67">
                  <c:v>-1.6988499999570195E-2</c:v>
                </c:pt>
                <c:pt idx="68">
                  <c:v>-1.23539999985951E-2</c:v>
                </c:pt>
                <c:pt idx="69">
                  <c:v>-1.4385400005267002E-2</c:v>
                </c:pt>
                <c:pt idx="70">
                  <c:v>-1.6271799999231007E-2</c:v>
                </c:pt>
                <c:pt idx="71">
                  <c:v>-1.7023000000335742E-2</c:v>
                </c:pt>
                <c:pt idx="72">
                  <c:v>-1.5809100004844368E-2</c:v>
                </c:pt>
                <c:pt idx="73">
                  <c:v>-1.8858300005376805E-2</c:v>
                </c:pt>
                <c:pt idx="74">
                  <c:v>-1.9734199930098839E-2</c:v>
                </c:pt>
                <c:pt idx="75">
                  <c:v>-2.2592799999983981E-2</c:v>
                </c:pt>
                <c:pt idx="76">
                  <c:v>-2.5226899997505825E-2</c:v>
                </c:pt>
                <c:pt idx="77">
                  <c:v>-2.4654099928739015E-2</c:v>
                </c:pt>
                <c:pt idx="78">
                  <c:v>-2.7308400007314049E-2</c:v>
                </c:pt>
                <c:pt idx="79">
                  <c:v>-2.4922399999923073E-2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37-47EC-BFE0-BABE2C21718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Active!$L$21:$L$977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37-47EC-BFE0-BABE2C21718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Active!$M$21:$M$977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37-47EC-BFE0-BABE2C21718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1">
                    <c:v>2E-3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1.9E-3</c:v>
                  </c:pt>
                  <c:pt idx="15">
                    <c:v>0</c:v>
                  </c:pt>
                  <c:pt idx="16">
                    <c:v>8.9999999999999998E-4</c:v>
                  </c:pt>
                  <c:pt idx="17">
                    <c:v>0</c:v>
                  </c:pt>
                  <c:pt idx="18">
                    <c:v>5.0000000000000001E-4</c:v>
                  </c:pt>
                  <c:pt idx="19">
                    <c:v>5.0000000000000001E-4</c:v>
                  </c:pt>
                  <c:pt idx="20">
                    <c:v>0</c:v>
                  </c:pt>
                  <c:pt idx="21">
                    <c:v>5.9999999999999995E-4</c:v>
                  </c:pt>
                  <c:pt idx="22">
                    <c:v>5.0000000000000001E-4</c:v>
                  </c:pt>
                  <c:pt idx="23">
                    <c:v>5.0000000000000001E-4</c:v>
                  </c:pt>
                  <c:pt idx="24">
                    <c:v>8.9999999999999998E-4</c:v>
                  </c:pt>
                  <c:pt idx="25">
                    <c:v>8.0000000000000004E-4</c:v>
                  </c:pt>
                  <c:pt idx="26">
                    <c:v>1.4E-3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1E-4</c:v>
                  </c:pt>
                  <c:pt idx="30">
                    <c:v>5.9999999999999995E-4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2E-3</c:v>
                  </c:pt>
                  <c:pt idx="34">
                    <c:v>1E-4</c:v>
                  </c:pt>
                  <c:pt idx="35">
                    <c:v>4.0000000000000002E-4</c:v>
                  </c:pt>
                  <c:pt idx="36">
                    <c:v>2.0000000000000001E-4</c:v>
                  </c:pt>
                  <c:pt idx="37">
                    <c:v>1.46E-2</c:v>
                  </c:pt>
                  <c:pt idx="38">
                    <c:v>2.0000000000000001E-4</c:v>
                  </c:pt>
                  <c:pt idx="39">
                    <c:v>2.2000000000000001E-3</c:v>
                  </c:pt>
                  <c:pt idx="40">
                    <c:v>4.0000000000000002E-4</c:v>
                  </c:pt>
                  <c:pt idx="41">
                    <c:v>5.9999999999999995E-4</c:v>
                  </c:pt>
                  <c:pt idx="42">
                    <c:v>1.44E-2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4.0000000000000002E-4</c:v>
                  </c:pt>
                  <c:pt idx="46">
                    <c:v>8.9999999999999998E-4</c:v>
                  </c:pt>
                  <c:pt idx="47">
                    <c:v>2.0000000000000001E-4</c:v>
                  </c:pt>
                  <c:pt idx="48">
                    <c:v>5.0000000000000001E-4</c:v>
                  </c:pt>
                  <c:pt idx="49">
                    <c:v>5.9999999999999995E-4</c:v>
                  </c:pt>
                  <c:pt idx="50">
                    <c:v>8.8999999999999999E-3</c:v>
                  </c:pt>
                  <c:pt idx="51">
                    <c:v>4.5999999999999999E-3</c:v>
                  </c:pt>
                  <c:pt idx="52">
                    <c:v>2.9999999999999997E-4</c:v>
                  </c:pt>
                  <c:pt idx="53">
                    <c:v>5.0000000000000001E-4</c:v>
                  </c:pt>
                  <c:pt idx="54">
                    <c:v>2.9999999999999997E-4</c:v>
                  </c:pt>
                  <c:pt idx="55">
                    <c:v>4.0000000000000002E-4</c:v>
                  </c:pt>
                  <c:pt idx="56">
                    <c:v>1E-3</c:v>
                  </c:pt>
                  <c:pt idx="57">
                    <c:v>2.9999999999999997E-4</c:v>
                  </c:pt>
                  <c:pt idx="58">
                    <c:v>2.9999999999999997E-4</c:v>
                  </c:pt>
                  <c:pt idx="59">
                    <c:v>1E-3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4.0000000000000002E-4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4.0000000000000002E-4</c:v>
                  </c:pt>
                  <c:pt idx="72">
                    <c:v>5.9999999999999995E-4</c:v>
                  </c:pt>
                  <c:pt idx="73">
                    <c:v>5.9999999999999995E-4</c:v>
                  </c:pt>
                  <c:pt idx="74">
                    <c:v>1.23E-3</c:v>
                  </c:pt>
                  <c:pt idx="75">
                    <c:v>5.9999999999999995E-4</c:v>
                  </c:pt>
                  <c:pt idx="76">
                    <c:v>5.0000000000000001E-4</c:v>
                  </c:pt>
                  <c:pt idx="77">
                    <c:v>1.01E-3</c:v>
                  </c:pt>
                  <c:pt idx="78">
                    <c:v>5.0000000000000001E-4</c:v>
                  </c:pt>
                  <c:pt idx="79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Active!$N$21:$N$977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37-47EC-BFE0-BABE2C21718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Active!$O$21:$O$977</c:f>
              <c:numCache>
                <c:formatCode>General</c:formatCode>
                <c:ptCount val="957"/>
                <c:pt idx="0">
                  <c:v>2.8950828606626153E-2</c:v>
                </c:pt>
                <c:pt idx="1">
                  <c:v>2.7798424016388074E-2</c:v>
                </c:pt>
                <c:pt idx="2">
                  <c:v>2.7036665049959514E-2</c:v>
                </c:pt>
                <c:pt idx="3">
                  <c:v>2.6824600282748634E-2</c:v>
                </c:pt>
                <c:pt idx="4">
                  <c:v>2.5451759947646611E-2</c:v>
                </c:pt>
                <c:pt idx="5">
                  <c:v>2.5401534081728246E-2</c:v>
                </c:pt>
                <c:pt idx="6">
                  <c:v>2.4963452917884713E-2</c:v>
                </c:pt>
                <c:pt idx="7">
                  <c:v>2.360456421220446E-2</c:v>
                </c:pt>
                <c:pt idx="8">
                  <c:v>2.2315433653633053E-2</c:v>
                </c:pt>
                <c:pt idx="9">
                  <c:v>2.191641705217047E-2</c:v>
                </c:pt>
                <c:pt idx="10">
                  <c:v>2.0099914901456212E-2</c:v>
                </c:pt>
                <c:pt idx="11">
                  <c:v>1.946372059982357E-2</c:v>
                </c:pt>
                <c:pt idx="12">
                  <c:v>1.7594202257306589E-2</c:v>
                </c:pt>
                <c:pt idx="13">
                  <c:v>1.7418411726592305E-2</c:v>
                </c:pt>
                <c:pt idx="14">
                  <c:v>1.733191162417734E-2</c:v>
                </c:pt>
                <c:pt idx="15">
                  <c:v>1.7016604799245372E-2</c:v>
                </c:pt>
                <c:pt idx="16">
                  <c:v>1.6734781884925647E-2</c:v>
                </c:pt>
                <c:pt idx="17">
                  <c:v>1.6718039929619524E-2</c:v>
                </c:pt>
                <c:pt idx="18">
                  <c:v>1.6617588197782793E-2</c:v>
                </c:pt>
                <c:pt idx="19">
                  <c:v>1.6609217220129729E-2</c:v>
                </c:pt>
                <c:pt idx="20">
                  <c:v>1.660084624247667E-2</c:v>
                </c:pt>
                <c:pt idx="21">
                  <c:v>1.5060586354313427E-2</c:v>
                </c:pt>
                <c:pt idx="22">
                  <c:v>1.5052215376660367E-2</c:v>
                </c:pt>
                <c:pt idx="23">
                  <c:v>1.3950036652340654E-2</c:v>
                </c:pt>
                <c:pt idx="24">
                  <c:v>1.3913762415844055E-2</c:v>
                </c:pt>
                <c:pt idx="25">
                  <c:v>1.236513155002775E-2</c:v>
                </c:pt>
                <c:pt idx="26">
                  <c:v>1.183496963200055E-2</c:v>
                </c:pt>
                <c:pt idx="27">
                  <c:v>1.1547566065912118E-2</c:v>
                </c:pt>
                <c:pt idx="28">
                  <c:v>1.1483388570571983E-2</c:v>
                </c:pt>
                <c:pt idx="29">
                  <c:v>1.145269498584409E-2</c:v>
                </c:pt>
                <c:pt idx="30">
                  <c:v>1.1182033375061781E-2</c:v>
                </c:pt>
                <c:pt idx="31">
                  <c:v>1.1126226857374709E-2</c:v>
                </c:pt>
                <c:pt idx="32">
                  <c:v>9.9263867271026165E-3</c:v>
                </c:pt>
                <c:pt idx="33">
                  <c:v>9.4799345856060244E-3</c:v>
                </c:pt>
                <c:pt idx="34">
                  <c:v>9.15346645713664E-3</c:v>
                </c:pt>
                <c:pt idx="35">
                  <c:v>8.8967564757761013E-3</c:v>
                </c:pt>
                <c:pt idx="36">
                  <c:v>8.7739821368645367E-3</c:v>
                </c:pt>
                <c:pt idx="37">
                  <c:v>8.7739821368645367E-3</c:v>
                </c:pt>
                <c:pt idx="38">
                  <c:v>8.7600305074427703E-3</c:v>
                </c:pt>
                <c:pt idx="39">
                  <c:v>7.978739259823734E-3</c:v>
                </c:pt>
                <c:pt idx="40">
                  <c:v>7.0356091109121804E-3</c:v>
                </c:pt>
                <c:pt idx="41">
                  <c:v>6.7203022859802126E-3</c:v>
                </c:pt>
                <c:pt idx="42">
                  <c:v>5.9920272301638954E-3</c:v>
                </c:pt>
                <c:pt idx="43">
                  <c:v>4.2173799677149432E-3</c:v>
                </c:pt>
                <c:pt idx="44">
                  <c:v>4.0834443252659655E-3</c:v>
                </c:pt>
                <c:pt idx="45">
                  <c:v>4.0834443252659655E-3</c:v>
                </c:pt>
                <c:pt idx="46">
                  <c:v>3.9160247722047417E-3</c:v>
                </c:pt>
                <c:pt idx="47">
                  <c:v>3.8351053215584865E-3</c:v>
                </c:pt>
                <c:pt idx="48">
                  <c:v>1.9655869790415059E-3</c:v>
                </c:pt>
                <c:pt idx="49">
                  <c:v>-1.0144810654482486E-3</c:v>
                </c:pt>
                <c:pt idx="50">
                  <c:v>-1.3828040821829354E-3</c:v>
                </c:pt>
                <c:pt idx="51">
                  <c:v>-1.3855944080672887E-3</c:v>
                </c:pt>
                <c:pt idx="52">
                  <c:v>-2.055272620312177E-3</c:v>
                </c:pt>
                <c:pt idx="53">
                  <c:v>-3.3583548083053576E-3</c:v>
                </c:pt>
                <c:pt idx="54">
                  <c:v>-4.6558563445298247E-3</c:v>
                </c:pt>
                <c:pt idx="55">
                  <c:v>-4.8009532905162224E-3</c:v>
                </c:pt>
                <c:pt idx="56">
                  <c:v>-6.0733418937815066E-3</c:v>
                </c:pt>
                <c:pt idx="57">
                  <c:v>-6.316100245720279E-3</c:v>
                </c:pt>
                <c:pt idx="58">
                  <c:v>-6.8183589049039435E-3</c:v>
                </c:pt>
                <c:pt idx="59">
                  <c:v>-6.9327622661624518E-3</c:v>
                </c:pt>
                <c:pt idx="60">
                  <c:v>-8.9083129922848704E-3</c:v>
                </c:pt>
                <c:pt idx="61">
                  <c:v>-9.4161523032372414E-3</c:v>
                </c:pt>
                <c:pt idx="62">
                  <c:v>-9.8347011858903009E-3</c:v>
                </c:pt>
                <c:pt idx="63">
                  <c:v>-1.1821413215550133E-2</c:v>
                </c:pt>
                <c:pt idx="64">
                  <c:v>-1.199720374626442E-2</c:v>
                </c:pt>
                <c:pt idx="65">
                  <c:v>-1.2638978699665768E-2</c:v>
                </c:pt>
                <c:pt idx="66">
                  <c:v>-1.4648013336400433E-2</c:v>
                </c:pt>
                <c:pt idx="67">
                  <c:v>-1.4815432889461657E-2</c:v>
                </c:pt>
                <c:pt idx="68">
                  <c:v>-1.4968900813101111E-2</c:v>
                </c:pt>
                <c:pt idx="69">
                  <c:v>-1.5063771893169136E-2</c:v>
                </c:pt>
                <c:pt idx="70">
                  <c:v>-1.6693322209631694E-2</c:v>
                </c:pt>
                <c:pt idx="71">
                  <c:v>-1.7452290850175901E-2</c:v>
                </c:pt>
                <c:pt idx="72">
                  <c:v>-1.7845726799869777E-2</c:v>
                </c:pt>
                <c:pt idx="73">
                  <c:v>-1.9665019276468392E-2</c:v>
                </c:pt>
                <c:pt idx="74">
                  <c:v>-2.0443520198203068E-2</c:v>
                </c:pt>
                <c:pt idx="75">
                  <c:v>-2.2301877237182636E-2</c:v>
                </c:pt>
                <c:pt idx="76">
                  <c:v>-2.2360474080754065E-2</c:v>
                </c:pt>
                <c:pt idx="77">
                  <c:v>-2.300782968592412E-2</c:v>
                </c:pt>
                <c:pt idx="78">
                  <c:v>-2.5192654853373072E-2</c:v>
                </c:pt>
                <c:pt idx="79">
                  <c:v>-2.6141365654053329E-2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37-47EC-BFE0-BABE2C21718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206.5</c:v>
                </c:pt>
                <c:pt idx="2">
                  <c:v>343</c:v>
                </c:pt>
                <c:pt idx="3">
                  <c:v>381</c:v>
                </c:pt>
                <c:pt idx="4">
                  <c:v>627</c:v>
                </c:pt>
                <c:pt idx="5">
                  <c:v>636</c:v>
                </c:pt>
                <c:pt idx="6">
                  <c:v>714.5</c:v>
                </c:pt>
                <c:pt idx="7">
                  <c:v>958</c:v>
                </c:pt>
                <c:pt idx="8">
                  <c:v>1189</c:v>
                </c:pt>
                <c:pt idx="9">
                  <c:v>1260.5</c:v>
                </c:pt>
                <c:pt idx="10">
                  <c:v>1586</c:v>
                </c:pt>
                <c:pt idx="11">
                  <c:v>1700</c:v>
                </c:pt>
                <c:pt idx="12">
                  <c:v>2035</c:v>
                </c:pt>
                <c:pt idx="13">
                  <c:v>2066.5</c:v>
                </c:pt>
                <c:pt idx="14">
                  <c:v>2082</c:v>
                </c:pt>
                <c:pt idx="15">
                  <c:v>2138.5</c:v>
                </c:pt>
                <c:pt idx="16">
                  <c:v>2189</c:v>
                </c:pt>
                <c:pt idx="17">
                  <c:v>2192</c:v>
                </c:pt>
                <c:pt idx="18">
                  <c:v>2210</c:v>
                </c:pt>
                <c:pt idx="19">
                  <c:v>2211.5</c:v>
                </c:pt>
                <c:pt idx="20">
                  <c:v>2213</c:v>
                </c:pt>
                <c:pt idx="21">
                  <c:v>2489</c:v>
                </c:pt>
                <c:pt idx="22">
                  <c:v>2490.5</c:v>
                </c:pt>
                <c:pt idx="23">
                  <c:v>2688</c:v>
                </c:pt>
                <c:pt idx="24">
                  <c:v>2694.5</c:v>
                </c:pt>
                <c:pt idx="25">
                  <c:v>2972</c:v>
                </c:pt>
                <c:pt idx="26">
                  <c:v>3067</c:v>
                </c:pt>
                <c:pt idx="27">
                  <c:v>3118.5</c:v>
                </c:pt>
                <c:pt idx="28">
                  <c:v>3130</c:v>
                </c:pt>
                <c:pt idx="29">
                  <c:v>3135.5</c:v>
                </c:pt>
                <c:pt idx="30">
                  <c:v>3184</c:v>
                </c:pt>
                <c:pt idx="31">
                  <c:v>3194</c:v>
                </c:pt>
                <c:pt idx="32">
                  <c:v>3409</c:v>
                </c:pt>
                <c:pt idx="33">
                  <c:v>3489</c:v>
                </c:pt>
                <c:pt idx="34">
                  <c:v>3547.5</c:v>
                </c:pt>
                <c:pt idx="35">
                  <c:v>3593.5</c:v>
                </c:pt>
                <c:pt idx="36">
                  <c:v>3615.5</c:v>
                </c:pt>
                <c:pt idx="37">
                  <c:v>3615.5</c:v>
                </c:pt>
                <c:pt idx="38">
                  <c:v>3618</c:v>
                </c:pt>
                <c:pt idx="39">
                  <c:v>3758</c:v>
                </c:pt>
                <c:pt idx="40">
                  <c:v>3927</c:v>
                </c:pt>
                <c:pt idx="41">
                  <c:v>3983.5</c:v>
                </c:pt>
                <c:pt idx="42">
                  <c:v>4114</c:v>
                </c:pt>
                <c:pt idx="43">
                  <c:v>4432</c:v>
                </c:pt>
                <c:pt idx="44">
                  <c:v>4456</c:v>
                </c:pt>
                <c:pt idx="45">
                  <c:v>4456</c:v>
                </c:pt>
                <c:pt idx="46">
                  <c:v>4486</c:v>
                </c:pt>
                <c:pt idx="47">
                  <c:v>4500.5</c:v>
                </c:pt>
                <c:pt idx="48">
                  <c:v>4835.5</c:v>
                </c:pt>
                <c:pt idx="49">
                  <c:v>5369.5</c:v>
                </c:pt>
                <c:pt idx="50">
                  <c:v>5435.5</c:v>
                </c:pt>
                <c:pt idx="51">
                  <c:v>5436</c:v>
                </c:pt>
                <c:pt idx="52">
                  <c:v>5556</c:v>
                </c:pt>
                <c:pt idx="53">
                  <c:v>5789.5</c:v>
                </c:pt>
                <c:pt idx="54">
                  <c:v>6022</c:v>
                </c:pt>
                <c:pt idx="55">
                  <c:v>6048</c:v>
                </c:pt>
                <c:pt idx="56">
                  <c:v>6276</c:v>
                </c:pt>
                <c:pt idx="57">
                  <c:v>6319.5</c:v>
                </c:pt>
                <c:pt idx="58">
                  <c:v>6409.5</c:v>
                </c:pt>
                <c:pt idx="59">
                  <c:v>6430</c:v>
                </c:pt>
                <c:pt idx="60">
                  <c:v>6784</c:v>
                </c:pt>
                <c:pt idx="61">
                  <c:v>6875</c:v>
                </c:pt>
                <c:pt idx="62">
                  <c:v>6950</c:v>
                </c:pt>
                <c:pt idx="63">
                  <c:v>7306</c:v>
                </c:pt>
                <c:pt idx="64">
                  <c:v>7337.5</c:v>
                </c:pt>
                <c:pt idx="65">
                  <c:v>7452.5</c:v>
                </c:pt>
                <c:pt idx="66">
                  <c:v>7812.5</c:v>
                </c:pt>
                <c:pt idx="67">
                  <c:v>7842.5</c:v>
                </c:pt>
                <c:pt idx="68">
                  <c:v>7870</c:v>
                </c:pt>
                <c:pt idx="69">
                  <c:v>7887</c:v>
                </c:pt>
                <c:pt idx="70">
                  <c:v>8179</c:v>
                </c:pt>
                <c:pt idx="71">
                  <c:v>8315</c:v>
                </c:pt>
                <c:pt idx="72">
                  <c:v>8385.5</c:v>
                </c:pt>
                <c:pt idx="73">
                  <c:v>8711.5</c:v>
                </c:pt>
                <c:pt idx="74">
                  <c:v>8851</c:v>
                </c:pt>
                <c:pt idx="75">
                  <c:v>9184</c:v>
                </c:pt>
                <c:pt idx="76">
                  <c:v>9194.5</c:v>
                </c:pt>
                <c:pt idx="77">
                  <c:v>9310.5</c:v>
                </c:pt>
                <c:pt idx="78">
                  <c:v>9702</c:v>
                </c:pt>
                <c:pt idx="79">
                  <c:v>9872</c:v>
                </c:pt>
              </c:numCache>
            </c:numRef>
          </c:xVal>
          <c:yVal>
            <c:numRef>
              <c:f>Active!$U$21:$U$977</c:f>
              <c:numCache>
                <c:formatCode>General</c:formatCode>
                <c:ptCount val="957"/>
                <c:pt idx="1">
                  <c:v>3.6962700003641658E-2</c:v>
                </c:pt>
                <c:pt idx="8">
                  <c:v>0.14998619999823859</c:v>
                </c:pt>
                <c:pt idx="56">
                  <c:v>-9.1939199999615084E-2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737-47EC-BFE0-BABE2C21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57840"/>
        <c:axId val="1"/>
      </c:scatterChart>
      <c:valAx>
        <c:axId val="44925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393195748490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72323867679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257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51879699248121"/>
          <c:y val="0.9248566378182318"/>
          <c:w val="0.72330827067669168"/>
          <c:h val="5.7803386821545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266700</xdr:colOff>
      <xdr:row>18</xdr:row>
      <xdr:rowOff>9525</xdr:rowOff>
    </xdr:to>
    <xdr:graphicFrame macro="">
      <xdr:nvGraphicFramePr>
        <xdr:cNvPr id="1039" name="Chart 1">
          <a:extLst>
            <a:ext uri="{FF2B5EF4-FFF2-40B4-BE49-F238E27FC236}">
              <a16:creationId xmlns:a16="http://schemas.microsoft.com/office/drawing/2014/main" id="{8CBB0A16-C72F-FEB2-A8E1-446991586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333375</xdr:colOff>
      <xdr:row>0</xdr:row>
      <xdr:rowOff>0</xdr:rowOff>
    </xdr:from>
    <xdr:to>
      <xdr:col>26</xdr:col>
      <xdr:colOff>495300</xdr:colOff>
      <xdr:row>18</xdr:row>
      <xdr:rowOff>28575</xdr:rowOff>
    </xdr:to>
    <xdr:graphicFrame macro="">
      <xdr:nvGraphicFramePr>
        <xdr:cNvPr id="1040" name="Chart 2">
          <a:extLst>
            <a:ext uri="{FF2B5EF4-FFF2-40B4-BE49-F238E27FC236}">
              <a16:creationId xmlns:a16="http://schemas.microsoft.com/office/drawing/2014/main" id="{1F7FDC2A-3662-B7CD-DBDA-2C83BB4D2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avso.org/sites/default/files/jaavso/v36n2/186.pdf" TargetMode="External"/><Relationship Id="rId13" Type="http://schemas.openxmlformats.org/officeDocument/2006/relationships/hyperlink" Target="http://www.konkoly.hu/cgi-bin/IBVS?5898" TargetMode="External"/><Relationship Id="rId18" Type="http://schemas.openxmlformats.org/officeDocument/2006/relationships/hyperlink" Target="http://www.konkoly.hu/cgi-bin/IBVS?5980" TargetMode="External"/><Relationship Id="rId26" Type="http://schemas.openxmlformats.org/officeDocument/2006/relationships/hyperlink" Target="http://www.bav-astro.de/sfs/BAVM_link.php?BAVMnr=234" TargetMode="External"/><Relationship Id="rId3" Type="http://schemas.openxmlformats.org/officeDocument/2006/relationships/hyperlink" Target="http://www.bav-astro.de/sfs/BAVM_link.php?BAVMnr=183" TargetMode="External"/><Relationship Id="rId21" Type="http://schemas.openxmlformats.org/officeDocument/2006/relationships/hyperlink" Target="http://www.konkoly.hu/cgi-bin/IBVS?6039" TargetMode="External"/><Relationship Id="rId7" Type="http://schemas.openxmlformats.org/officeDocument/2006/relationships/hyperlink" Target="http://www.aavso.org/sites/default/files/jaavso/v36n2/171.pdf" TargetMode="External"/><Relationship Id="rId12" Type="http://schemas.openxmlformats.org/officeDocument/2006/relationships/hyperlink" Target="http://www.konkoly.hu/cgi-bin/IBVS?5938" TargetMode="External"/><Relationship Id="rId17" Type="http://schemas.openxmlformats.org/officeDocument/2006/relationships/hyperlink" Target="http://www.konkoly.hu/cgi-bin/IBVS?5980" TargetMode="External"/><Relationship Id="rId25" Type="http://schemas.openxmlformats.org/officeDocument/2006/relationships/hyperlink" Target="http://www.konkoly.hu/cgi-bin/IBVS?6050" TargetMode="External"/><Relationship Id="rId2" Type="http://schemas.openxmlformats.org/officeDocument/2006/relationships/hyperlink" Target="http://www.konkoly.hu/cgi-bin/IBVS?5653" TargetMode="External"/><Relationship Id="rId16" Type="http://schemas.openxmlformats.org/officeDocument/2006/relationships/hyperlink" Target="http://www.konkoly.hu/cgi-bin/IBVS?5929" TargetMode="External"/><Relationship Id="rId20" Type="http://schemas.openxmlformats.org/officeDocument/2006/relationships/hyperlink" Target="http://www.konkoly.hu/cgi-bin/IBVS?598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aavso.org/sites/default/files/jaavso/v36n2/171.pdf" TargetMode="External"/><Relationship Id="rId11" Type="http://schemas.openxmlformats.org/officeDocument/2006/relationships/hyperlink" Target="http://www.bav-astro.de/sfs/BAVM_link.php?BAVMnr=209" TargetMode="External"/><Relationship Id="rId24" Type="http://schemas.openxmlformats.org/officeDocument/2006/relationships/hyperlink" Target="http://www.bav-astro.de/sfs/BAVM_link.php?BAVMnr=225" TargetMode="External"/><Relationship Id="rId5" Type="http://schemas.openxmlformats.org/officeDocument/2006/relationships/hyperlink" Target="http://www.konkoly.hu/cgi-bin/IBVS?5898" TargetMode="External"/><Relationship Id="rId15" Type="http://schemas.openxmlformats.org/officeDocument/2006/relationships/hyperlink" Target="http://www.konkoly.hu/cgi-bin/IBVS?5898" TargetMode="External"/><Relationship Id="rId23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www.aavso.org/sites/default/files/jaavso/v37n1/44.pdf" TargetMode="External"/><Relationship Id="rId19" Type="http://schemas.openxmlformats.org/officeDocument/2006/relationships/hyperlink" Target="http://www.bav-astro.de/sfs/BAVM_link.php?BAVMnr=214" TargetMode="External"/><Relationship Id="rId4" Type="http://schemas.openxmlformats.org/officeDocument/2006/relationships/hyperlink" Target="http://www.konkoly.hu/cgi-bin/IBVS?5898" TargetMode="External"/><Relationship Id="rId9" Type="http://schemas.openxmlformats.org/officeDocument/2006/relationships/hyperlink" Target="http://www.aavso.org/sites/default/files/jaavso/v36n2/186.pdf" TargetMode="External"/><Relationship Id="rId14" Type="http://schemas.openxmlformats.org/officeDocument/2006/relationships/hyperlink" Target="http://www.konkoly.hu/cgi-bin/IBVS?5938" TargetMode="External"/><Relationship Id="rId22" Type="http://schemas.openxmlformats.org/officeDocument/2006/relationships/hyperlink" Target="http://www.konkoly.hu/cgi-bin/IBVS?5980" TargetMode="External"/><Relationship Id="rId27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18"/>
  <sheetViews>
    <sheetView tabSelected="1" workbookViewId="0">
      <pane xSplit="6" ySplit="20" topLeftCell="G87" activePane="bottomRight" state="frozen"/>
      <selection pane="topRight" activeCell="G1" sqref="G1"/>
      <selection pane="bottomLeft" activeCell="A21" sqref="A21"/>
      <selection pane="bottomRight" activeCell="E10" sqref="E10"/>
    </sheetView>
  </sheetViews>
  <sheetFormatPr defaultColWidth="10.28515625" defaultRowHeight="12.75"/>
  <cols>
    <col min="1" max="1" width="19.285156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38</v>
      </c>
    </row>
    <row r="2" spans="1:6">
      <c r="A2" t="s">
        <v>25</v>
      </c>
      <c r="B2" s="31" t="s">
        <v>39</v>
      </c>
      <c r="C2" s="3"/>
      <c r="D2" s="3"/>
    </row>
    <row r="3" spans="1:6" ht="13.5" thickBot="1"/>
    <row r="4" spans="1:6" ht="14.25" thickTop="1" thickBot="1">
      <c r="A4" s="5" t="s">
        <v>2</v>
      </c>
      <c r="C4" s="8">
        <v>52500.584000000003</v>
      </c>
      <c r="D4" s="9">
        <v>0.76418419999999998</v>
      </c>
    </row>
    <row r="5" spans="1:6" ht="13.5" thickTop="1">
      <c r="A5" s="11" t="s">
        <v>30</v>
      </c>
      <c r="B5" s="12"/>
      <c r="C5" s="13">
        <v>-9.5</v>
      </c>
      <c r="D5" s="12" t="s">
        <v>31</v>
      </c>
    </row>
    <row r="6" spans="1:6">
      <c r="A6" s="5" t="s">
        <v>3</v>
      </c>
    </row>
    <row r="7" spans="1:6">
      <c r="A7" t="s">
        <v>4</v>
      </c>
      <c r="C7">
        <v>52500.584000000003</v>
      </c>
    </row>
    <row r="8" spans="1:6">
      <c r="A8" t="s">
        <v>5</v>
      </c>
      <c r="C8">
        <v>0.76418419999999998</v>
      </c>
      <c r="D8" s="28"/>
    </row>
    <row r="9" spans="1:6">
      <c r="A9" s="26" t="s">
        <v>35</v>
      </c>
      <c r="B9" s="27">
        <v>70</v>
      </c>
      <c r="C9" s="24" t="str">
        <f>"F"&amp;B9</f>
        <v>F70</v>
      </c>
      <c r="D9" s="25" t="str">
        <f>"G"&amp;B9</f>
        <v>G70</v>
      </c>
    </row>
    <row r="10" spans="1:6" ht="13.5" thickBot="1">
      <c r="A10" s="12"/>
      <c r="B10" s="12"/>
      <c r="C10" s="4" t="s">
        <v>21</v>
      </c>
      <c r="D10" s="4" t="s">
        <v>22</v>
      </c>
      <c r="E10" s="12"/>
    </row>
    <row r="11" spans="1:6">
      <c r="A11" s="12" t="s">
        <v>17</v>
      </c>
      <c r="B11" s="12"/>
      <c r="C11" s="23">
        <f ca="1">INTERCEPT(INDIRECT($D$9):G970,INDIRECT($C$9):F970)</f>
        <v>2.8950828606626153E-2</v>
      </c>
      <c r="D11" s="3"/>
      <c r="E11" s="12"/>
    </row>
    <row r="12" spans="1:6">
      <c r="A12" s="12" t="s">
        <v>18</v>
      </c>
      <c r="B12" s="12"/>
      <c r="C12" s="23">
        <f ca="1">SLOPE(INDIRECT($D$9):G970,INDIRECT($C$9):F970)</f>
        <v>-5.5806517687074031E-6</v>
      </c>
      <c r="D12" s="3"/>
      <c r="E12" s="12"/>
    </row>
    <row r="13" spans="1:6">
      <c r="A13" s="12" t="s">
        <v>20</v>
      </c>
      <c r="B13" s="12"/>
      <c r="C13" s="3" t="s">
        <v>15</v>
      </c>
    </row>
    <row r="14" spans="1:6">
      <c r="A14" s="12"/>
      <c r="B14" s="12"/>
      <c r="C14" s="12"/>
    </row>
    <row r="15" spans="1:6">
      <c r="A15" s="14" t="s">
        <v>19</v>
      </c>
      <c r="B15" s="12"/>
      <c r="C15" s="15">
        <f ca="1">(C7+C11)+(C8+C12)*INT(MAX(F21:F3511))</f>
        <v>60044.584281034346</v>
      </c>
      <c r="E15" s="16" t="s">
        <v>50</v>
      </c>
      <c r="F15" s="13">
        <v>1</v>
      </c>
    </row>
    <row r="16" spans="1:6">
      <c r="A16" s="18" t="s">
        <v>6</v>
      </c>
      <c r="B16" s="12"/>
      <c r="C16" s="19">
        <f ca="1">+C8+C12</f>
        <v>0.76417861934823128</v>
      </c>
      <c r="E16" s="16" t="s">
        <v>32</v>
      </c>
      <c r="F16" s="17">
        <f ca="1">NOW()+15018.5+$C$5/24</f>
        <v>60312.616185879626</v>
      </c>
    </row>
    <row r="17" spans="1:21" ht="13.5" thickBot="1">
      <c r="A17" s="16" t="s">
        <v>29</v>
      </c>
      <c r="B17" s="12"/>
      <c r="C17" s="12">
        <f>COUNT(C21:C2169)</f>
        <v>80</v>
      </c>
      <c r="E17" s="16" t="s">
        <v>51</v>
      </c>
      <c r="F17" s="17">
        <f ca="1">ROUND(2*(F16-$C$7)/$C$8,0)/2+F15</f>
        <v>10223.5</v>
      </c>
    </row>
    <row r="18" spans="1:21" ht="14.25" thickTop="1" thickBot="1">
      <c r="A18" s="18" t="s">
        <v>7</v>
      </c>
      <c r="B18" s="12"/>
      <c r="C18" s="21">
        <f ca="1">+C15</f>
        <v>60044.584281034346</v>
      </c>
      <c r="D18" s="22">
        <f ca="1">+C16</f>
        <v>0.76417861934823128</v>
      </c>
      <c r="E18" s="16" t="s">
        <v>33</v>
      </c>
      <c r="F18" s="25">
        <f ca="1">ROUND(2*(F16-$C$15)/$C$16,0)/2+F15</f>
        <v>351.5</v>
      </c>
    </row>
    <row r="19" spans="1:21" ht="13.5" thickTop="1">
      <c r="E19" s="16" t="s">
        <v>34</v>
      </c>
      <c r="F19" s="20">
        <f ca="1">+$C$15+$C$16*F18-15018.5-$C$5/24</f>
        <v>45295.088899068585</v>
      </c>
    </row>
    <row r="20" spans="1:21" ht="13.5" thickBot="1">
      <c r="A20" s="4" t="s">
        <v>8</v>
      </c>
      <c r="B20" s="4" t="s">
        <v>9</v>
      </c>
      <c r="C20" s="83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76</v>
      </c>
      <c r="I20" s="7" t="s">
        <v>79</v>
      </c>
      <c r="J20" s="7" t="s">
        <v>73</v>
      </c>
      <c r="K20" s="7" t="s">
        <v>71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56" t="s">
        <v>302</v>
      </c>
    </row>
    <row r="21" spans="1:21">
      <c r="A21" s="30" t="s">
        <v>37</v>
      </c>
      <c r="B21" s="29" t="s">
        <v>36</v>
      </c>
      <c r="C21" s="30">
        <v>52500.584000000003</v>
      </c>
      <c r="D21" s="86"/>
      <c r="E21">
        <f t="shared" ref="E21:E52" si="0">+(C21-C$7)/C$8</f>
        <v>0</v>
      </c>
      <c r="F21">
        <f t="shared" ref="F21:F52" si="1">ROUND(2*E21,0)/2</f>
        <v>0</v>
      </c>
      <c r="G21">
        <f>+C21-(C$7+F21*C$8)</f>
        <v>0</v>
      </c>
      <c r="H21">
        <f>+G21</f>
        <v>0</v>
      </c>
      <c r="O21">
        <f t="shared" ref="O21:O52" ca="1" si="2">+C$11+C$12*$F21</f>
        <v>2.8950828606626153E-2</v>
      </c>
      <c r="Q21" s="2">
        <f t="shared" ref="Q21:Q52" si="3">+C21-15018.5</f>
        <v>37482.084000000003</v>
      </c>
    </row>
    <row r="22" spans="1:21">
      <c r="A22" s="30" t="s">
        <v>40</v>
      </c>
      <c r="B22" s="30" t="s">
        <v>41</v>
      </c>
      <c r="C22" s="30">
        <v>52658.425000000003</v>
      </c>
      <c r="D22" s="87">
        <v>2E-3</v>
      </c>
      <c r="E22">
        <f t="shared" si="0"/>
        <v>206.54836883568171</v>
      </c>
      <c r="F22">
        <f t="shared" si="1"/>
        <v>206.5</v>
      </c>
      <c r="O22">
        <f t="shared" ca="1" si="2"/>
        <v>2.7798424016388074E-2</v>
      </c>
      <c r="Q22" s="2">
        <f t="shared" si="3"/>
        <v>37639.925000000003</v>
      </c>
      <c r="U22">
        <f>+C22-(C$7+F22*C$8)</f>
        <v>3.6962700003641658E-2</v>
      </c>
    </row>
    <row r="23" spans="1:21">
      <c r="A23" s="54" t="s">
        <v>93</v>
      </c>
      <c r="B23" s="55" t="s">
        <v>36</v>
      </c>
      <c r="C23" s="54">
        <v>52762.698299999996</v>
      </c>
      <c r="D23" s="88" t="s">
        <v>79</v>
      </c>
      <c r="E23" s="33">
        <f t="shared" si="0"/>
        <v>342.99884766001946</v>
      </c>
      <c r="F23">
        <f t="shared" si="1"/>
        <v>343</v>
      </c>
      <c r="G23">
        <f t="shared" ref="G23:G28" si="4">+C23-(C$7+F23*C$8)</f>
        <v>-8.8060000416589901E-4</v>
      </c>
      <c r="K23">
        <f t="shared" ref="K23:K28" si="5">+G23</f>
        <v>-8.8060000416589901E-4</v>
      </c>
      <c r="O23">
        <f t="shared" ca="1" si="2"/>
        <v>2.7036665049959514E-2</v>
      </c>
      <c r="Q23" s="2">
        <f t="shared" si="3"/>
        <v>37744.198299999996</v>
      </c>
    </row>
    <row r="24" spans="1:21">
      <c r="A24" s="54" t="s">
        <v>93</v>
      </c>
      <c r="B24" s="55" t="s">
        <v>36</v>
      </c>
      <c r="C24" s="54">
        <v>52791.739600000001</v>
      </c>
      <c r="D24" s="88" t="s">
        <v>79</v>
      </c>
      <c r="E24" s="33">
        <f t="shared" si="0"/>
        <v>381.00185792901533</v>
      </c>
      <c r="F24">
        <f t="shared" si="1"/>
        <v>381</v>
      </c>
      <c r="G24">
        <f t="shared" si="4"/>
        <v>1.4197999989846721E-3</v>
      </c>
      <c r="K24">
        <f t="shared" si="5"/>
        <v>1.4197999989846721E-3</v>
      </c>
      <c r="O24">
        <f t="shared" ca="1" si="2"/>
        <v>2.6824600282748634E-2</v>
      </c>
      <c r="Q24" s="2">
        <f t="shared" si="3"/>
        <v>37773.239600000001</v>
      </c>
    </row>
    <row r="25" spans="1:21">
      <c r="A25" s="54" t="s">
        <v>93</v>
      </c>
      <c r="B25" s="55" t="s">
        <v>36</v>
      </c>
      <c r="C25" s="54">
        <v>52979.727700000003</v>
      </c>
      <c r="D25" s="88" t="s">
        <v>79</v>
      </c>
      <c r="E25" s="33">
        <f t="shared" si="0"/>
        <v>627.00027035366679</v>
      </c>
      <c r="F25">
        <f t="shared" si="1"/>
        <v>627</v>
      </c>
      <c r="G25">
        <f t="shared" si="4"/>
        <v>2.0660000154748559E-4</v>
      </c>
      <c r="K25">
        <f t="shared" si="5"/>
        <v>2.0660000154748559E-4</v>
      </c>
      <c r="O25">
        <f t="shared" ca="1" si="2"/>
        <v>2.5451759947646611E-2</v>
      </c>
      <c r="Q25" s="2">
        <f t="shared" si="3"/>
        <v>37961.227700000003</v>
      </c>
    </row>
    <row r="26" spans="1:21">
      <c r="A26" s="54" t="s">
        <v>93</v>
      </c>
      <c r="B26" s="55" t="s">
        <v>36</v>
      </c>
      <c r="C26" s="54">
        <v>52986.604299999999</v>
      </c>
      <c r="D26" s="88" t="s">
        <v>79</v>
      </c>
      <c r="E26" s="33">
        <f t="shared" si="0"/>
        <v>635.99888613242263</v>
      </c>
      <c r="F26">
        <f t="shared" si="1"/>
        <v>636</v>
      </c>
      <c r="G26">
        <f t="shared" si="4"/>
        <v>-8.5120000585447997E-4</v>
      </c>
      <c r="K26">
        <f t="shared" si="5"/>
        <v>-8.5120000585447997E-4</v>
      </c>
      <c r="O26">
        <f t="shared" ca="1" si="2"/>
        <v>2.5401534081728246E-2</v>
      </c>
      <c r="Q26" s="2">
        <f t="shared" si="3"/>
        <v>37968.104299999999</v>
      </c>
    </row>
    <row r="27" spans="1:21">
      <c r="A27" s="54" t="s">
        <v>93</v>
      </c>
      <c r="B27" s="55" t="s">
        <v>47</v>
      </c>
      <c r="C27" s="54">
        <v>53046.593999999997</v>
      </c>
      <c r="D27" s="88" t="s">
        <v>79</v>
      </c>
      <c r="E27" s="33">
        <f t="shared" si="0"/>
        <v>714.5005091704262</v>
      </c>
      <c r="F27">
        <f t="shared" si="1"/>
        <v>714.5</v>
      </c>
      <c r="G27">
        <f t="shared" si="4"/>
        <v>3.890999942086637E-4</v>
      </c>
      <c r="K27">
        <f t="shared" si="5"/>
        <v>3.890999942086637E-4</v>
      </c>
      <c r="O27">
        <f t="shared" ca="1" si="2"/>
        <v>2.4963452917884713E-2</v>
      </c>
      <c r="Q27" s="2">
        <f t="shared" si="3"/>
        <v>38028.093999999997</v>
      </c>
    </row>
    <row r="28" spans="1:21">
      <c r="A28" s="54" t="s">
        <v>93</v>
      </c>
      <c r="B28" s="55" t="s">
        <v>36</v>
      </c>
      <c r="C28" s="54">
        <v>53232.670400000003</v>
      </c>
      <c r="D28" s="88" t="s">
        <v>79</v>
      </c>
      <c r="E28" s="33">
        <f t="shared" si="0"/>
        <v>957.99729960394382</v>
      </c>
      <c r="F28">
        <f t="shared" si="1"/>
        <v>958</v>
      </c>
      <c r="G28">
        <f t="shared" si="4"/>
        <v>-2.0635999972000718E-3</v>
      </c>
      <c r="K28">
        <f t="shared" si="5"/>
        <v>-2.0635999972000718E-3</v>
      </c>
      <c r="O28">
        <f t="shared" ca="1" si="2"/>
        <v>2.360456421220446E-2</v>
      </c>
      <c r="Q28" s="2">
        <f t="shared" si="3"/>
        <v>38214.170400000003</v>
      </c>
    </row>
    <row r="29" spans="1:21">
      <c r="A29" s="30" t="s">
        <v>42</v>
      </c>
      <c r="B29" s="30" t="s">
        <v>43</v>
      </c>
      <c r="C29" s="30">
        <v>53409.349000000002</v>
      </c>
      <c r="D29" s="87">
        <v>3.0000000000000001E-3</v>
      </c>
      <c r="E29">
        <f t="shared" si="0"/>
        <v>1189.1962696951853</v>
      </c>
      <c r="F29">
        <f t="shared" si="1"/>
        <v>1189</v>
      </c>
      <c r="O29">
        <f t="shared" ca="1" si="2"/>
        <v>2.2315433653633053E-2</v>
      </c>
      <c r="Q29" s="2">
        <f t="shared" si="3"/>
        <v>38390.849000000002</v>
      </c>
      <c r="U29" s="57">
        <v>0.14998619999823859</v>
      </c>
    </row>
    <row r="30" spans="1:21">
      <c r="A30" s="54" t="s">
        <v>93</v>
      </c>
      <c r="B30" s="55" t="s">
        <v>47</v>
      </c>
      <c r="C30" s="54">
        <v>53463.840400000001</v>
      </c>
      <c r="D30" s="88" t="s">
        <v>79</v>
      </c>
      <c r="E30" s="33">
        <f t="shared" si="0"/>
        <v>1260.5028996935534</v>
      </c>
      <c r="F30">
        <f t="shared" si="1"/>
        <v>1260.5</v>
      </c>
      <c r="G30">
        <f t="shared" ref="G30:G76" si="6">+C30-(C$7+F30*C$8)</f>
        <v>2.2159000000101514E-3</v>
      </c>
      <c r="K30">
        <f>+G30</f>
        <v>2.2159000000101514E-3</v>
      </c>
      <c r="O30">
        <f t="shared" ca="1" si="2"/>
        <v>2.191641705217047E-2</v>
      </c>
      <c r="Q30" s="2">
        <f t="shared" si="3"/>
        <v>38445.340400000001</v>
      </c>
    </row>
    <row r="31" spans="1:21">
      <c r="A31" s="54" t="s">
        <v>93</v>
      </c>
      <c r="B31" s="55" t="s">
        <v>36</v>
      </c>
      <c r="C31" s="54">
        <v>53712.583200000001</v>
      </c>
      <c r="D31" s="88" t="s">
        <v>79</v>
      </c>
      <c r="E31" s="33">
        <f t="shared" si="0"/>
        <v>1586.0040026998706</v>
      </c>
      <c r="F31">
        <f t="shared" si="1"/>
        <v>1586</v>
      </c>
      <c r="G31">
        <f t="shared" si="6"/>
        <v>3.0588000008719973E-3</v>
      </c>
      <c r="K31">
        <f>+G31</f>
        <v>3.0588000008719973E-3</v>
      </c>
      <c r="O31">
        <f t="shared" ca="1" si="2"/>
        <v>2.0099914901456212E-2</v>
      </c>
      <c r="Q31" s="2">
        <f t="shared" si="3"/>
        <v>38694.083200000001</v>
      </c>
    </row>
    <row r="32" spans="1:21">
      <c r="A32" s="54" t="s">
        <v>93</v>
      </c>
      <c r="B32" s="55" t="s">
        <v>36</v>
      </c>
      <c r="C32" s="54">
        <v>53799.699200000003</v>
      </c>
      <c r="D32" s="88" t="s">
        <v>79</v>
      </c>
      <c r="E32" s="33">
        <f t="shared" si="0"/>
        <v>1700.0026956851505</v>
      </c>
      <c r="F32">
        <f t="shared" si="1"/>
        <v>1700</v>
      </c>
      <c r="G32">
        <f t="shared" si="6"/>
        <v>2.0599999988917261E-3</v>
      </c>
      <c r="K32">
        <f>+G32</f>
        <v>2.0599999988917261E-3</v>
      </c>
      <c r="O32">
        <f t="shared" ca="1" si="2"/>
        <v>1.946372059982357E-2</v>
      </c>
      <c r="Q32" s="2">
        <f t="shared" si="3"/>
        <v>38781.199200000003</v>
      </c>
    </row>
    <row r="33" spans="1:17">
      <c r="A33" s="54" t="s">
        <v>93</v>
      </c>
      <c r="B33" s="55" t="s">
        <v>36</v>
      </c>
      <c r="C33" s="54">
        <v>54055.698900000003</v>
      </c>
      <c r="D33" s="88" t="s">
        <v>79</v>
      </c>
      <c r="E33" s="33">
        <f t="shared" si="0"/>
        <v>2035.0000693550071</v>
      </c>
      <c r="F33">
        <f t="shared" si="1"/>
        <v>2035</v>
      </c>
      <c r="G33">
        <f t="shared" si="6"/>
        <v>5.3000003390479833E-5</v>
      </c>
      <c r="K33">
        <f>+G33</f>
        <v>5.3000003390479833E-5</v>
      </c>
      <c r="O33">
        <f t="shared" ca="1" si="2"/>
        <v>1.7594202257306589E-2</v>
      </c>
      <c r="Q33" s="2">
        <f t="shared" si="3"/>
        <v>39037.198900000003</v>
      </c>
    </row>
    <row r="34" spans="1:17">
      <c r="A34" s="54" t="s">
        <v>93</v>
      </c>
      <c r="B34" s="55" t="s">
        <v>47</v>
      </c>
      <c r="C34" s="54">
        <v>54079.773000000001</v>
      </c>
      <c r="D34" s="88" t="s">
        <v>79</v>
      </c>
      <c r="E34" s="33">
        <f t="shared" si="0"/>
        <v>2066.5030760908148</v>
      </c>
      <c r="F34">
        <f t="shared" si="1"/>
        <v>2066.5</v>
      </c>
      <c r="G34">
        <f t="shared" si="6"/>
        <v>2.3507000005338341E-3</v>
      </c>
      <c r="K34">
        <f>+G34</f>
        <v>2.3507000005338341E-3</v>
      </c>
      <c r="O34">
        <f t="shared" ca="1" si="2"/>
        <v>1.7418411726592305E-2</v>
      </c>
      <c r="Q34" s="2">
        <f t="shared" si="3"/>
        <v>39061.273000000001</v>
      </c>
    </row>
    <row r="35" spans="1:17">
      <c r="A35" s="30" t="s">
        <v>44</v>
      </c>
      <c r="B35" s="30" t="s">
        <v>36</v>
      </c>
      <c r="C35" s="30">
        <v>54091.616900000001</v>
      </c>
      <c r="D35" s="87">
        <v>1.9E-3</v>
      </c>
      <c r="E35">
        <f t="shared" si="0"/>
        <v>2082.001826261258</v>
      </c>
      <c r="F35">
        <f t="shared" si="1"/>
        <v>2082</v>
      </c>
      <c r="G35">
        <f t="shared" si="6"/>
        <v>1.3955999966128729E-3</v>
      </c>
      <c r="J35">
        <f>+G35</f>
        <v>1.3955999966128729E-3</v>
      </c>
      <c r="O35">
        <f t="shared" ca="1" si="2"/>
        <v>1.733191162417734E-2</v>
      </c>
      <c r="Q35" s="2">
        <f t="shared" si="3"/>
        <v>39073.116900000001</v>
      </c>
    </row>
    <row r="36" spans="1:17">
      <c r="A36" s="54" t="s">
        <v>93</v>
      </c>
      <c r="B36" s="55" t="s">
        <v>47</v>
      </c>
      <c r="C36" s="54">
        <v>54134.790200000003</v>
      </c>
      <c r="D36" s="88" t="s">
        <v>79</v>
      </c>
      <c r="E36" s="33">
        <f t="shared" si="0"/>
        <v>2138.4977600950147</v>
      </c>
      <c r="F36">
        <f t="shared" si="1"/>
        <v>2138.5</v>
      </c>
      <c r="G36">
        <f t="shared" si="6"/>
        <v>-1.7117000024882145E-3</v>
      </c>
      <c r="K36">
        <f t="shared" ref="K36:K46" si="7">+G36</f>
        <v>-1.7117000024882145E-3</v>
      </c>
      <c r="O36">
        <f t="shared" ca="1" si="2"/>
        <v>1.7016604799245372E-2</v>
      </c>
      <c r="Q36" s="2">
        <f t="shared" si="3"/>
        <v>39116.290200000003</v>
      </c>
    </row>
    <row r="37" spans="1:17">
      <c r="A37" s="30" t="s">
        <v>45</v>
      </c>
      <c r="B37" s="30" t="s">
        <v>36</v>
      </c>
      <c r="C37" s="30">
        <v>54173.3819</v>
      </c>
      <c r="D37" s="87">
        <v>8.9999999999999998E-4</v>
      </c>
      <c r="E37" s="33">
        <f t="shared" si="0"/>
        <v>2188.998280780992</v>
      </c>
      <c r="F37">
        <f t="shared" si="1"/>
        <v>2189</v>
      </c>
      <c r="G37">
        <f t="shared" si="6"/>
        <v>-1.3137999994796701E-3</v>
      </c>
      <c r="K37">
        <f t="shared" si="7"/>
        <v>-1.3137999994796701E-3</v>
      </c>
      <c r="O37">
        <f t="shared" ca="1" si="2"/>
        <v>1.6734781884925647E-2</v>
      </c>
      <c r="Q37" s="2">
        <f t="shared" si="3"/>
        <v>39154.8819</v>
      </c>
    </row>
    <row r="38" spans="1:17">
      <c r="A38" s="54" t="s">
        <v>93</v>
      </c>
      <c r="B38" s="55" t="s">
        <v>36</v>
      </c>
      <c r="C38" s="54">
        <v>54175.676800000001</v>
      </c>
      <c r="D38" s="88" t="s">
        <v>79</v>
      </c>
      <c r="E38" s="33">
        <f t="shared" si="0"/>
        <v>2192.0013525534791</v>
      </c>
      <c r="F38">
        <f t="shared" si="1"/>
        <v>2192</v>
      </c>
      <c r="G38">
        <f t="shared" si="6"/>
        <v>1.0335999977542087E-3</v>
      </c>
      <c r="K38">
        <f t="shared" si="7"/>
        <v>1.0335999977542087E-3</v>
      </c>
      <c r="O38">
        <f t="shared" ca="1" si="2"/>
        <v>1.6718039929619524E-2</v>
      </c>
      <c r="Q38" s="2">
        <f t="shared" si="3"/>
        <v>39157.176800000001</v>
      </c>
    </row>
    <row r="39" spans="1:17">
      <c r="A39" s="34" t="s">
        <v>46</v>
      </c>
      <c r="B39" s="35" t="s">
        <v>36</v>
      </c>
      <c r="C39" s="34">
        <v>54189.430800000002</v>
      </c>
      <c r="D39" s="89">
        <v>5.0000000000000001E-4</v>
      </c>
      <c r="E39" s="33">
        <f t="shared" si="0"/>
        <v>2209.9996309790222</v>
      </c>
      <c r="F39">
        <f t="shared" si="1"/>
        <v>2210</v>
      </c>
      <c r="G39">
        <f t="shared" si="6"/>
        <v>-2.8200000087963417E-4</v>
      </c>
      <c r="K39">
        <f t="shared" si="7"/>
        <v>-2.8200000087963417E-4</v>
      </c>
      <c r="O39">
        <f t="shared" ca="1" si="2"/>
        <v>1.6617588197782793E-2</v>
      </c>
      <c r="Q39" s="2">
        <f t="shared" si="3"/>
        <v>39170.930800000002</v>
      </c>
    </row>
    <row r="40" spans="1:17">
      <c r="A40" s="34" t="s">
        <v>46</v>
      </c>
      <c r="B40" s="35" t="s">
        <v>47</v>
      </c>
      <c r="C40" s="34">
        <v>54190.580199999997</v>
      </c>
      <c r="D40" s="89">
        <v>5.0000000000000001E-4</v>
      </c>
      <c r="E40" s="33">
        <f t="shared" si="0"/>
        <v>2211.5037186060563</v>
      </c>
      <c r="F40">
        <f t="shared" si="1"/>
        <v>2211.5</v>
      </c>
      <c r="G40">
        <f t="shared" si="6"/>
        <v>2.8416999921319075E-3</v>
      </c>
      <c r="K40">
        <f t="shared" si="7"/>
        <v>2.8416999921319075E-3</v>
      </c>
      <c r="O40">
        <f t="shared" ca="1" si="2"/>
        <v>1.6609217220129729E-2</v>
      </c>
      <c r="Q40" s="2">
        <f t="shared" si="3"/>
        <v>39172.080199999997</v>
      </c>
    </row>
    <row r="41" spans="1:17">
      <c r="A41" s="54" t="s">
        <v>93</v>
      </c>
      <c r="B41" s="55" t="s">
        <v>36</v>
      </c>
      <c r="C41" s="54">
        <v>54191.720300000001</v>
      </c>
      <c r="D41" s="88" t="s">
        <v>79</v>
      </c>
      <c r="E41" s="33">
        <f t="shared" si="0"/>
        <v>2212.9956363923757</v>
      </c>
      <c r="F41">
        <f t="shared" si="1"/>
        <v>2213</v>
      </c>
      <c r="G41">
        <f t="shared" si="6"/>
        <v>-3.3345999981975183E-3</v>
      </c>
      <c r="K41">
        <f t="shared" si="7"/>
        <v>-3.3345999981975183E-3</v>
      </c>
      <c r="O41">
        <f t="shared" ca="1" si="2"/>
        <v>1.660084624247667E-2</v>
      </c>
      <c r="Q41" s="2">
        <f t="shared" si="3"/>
        <v>39173.220300000001</v>
      </c>
    </row>
    <row r="42" spans="1:17">
      <c r="A42" s="40" t="s">
        <v>56</v>
      </c>
      <c r="B42" s="29" t="s">
        <v>36</v>
      </c>
      <c r="C42" s="30">
        <v>54402.635000000002</v>
      </c>
      <c r="D42" s="87">
        <v>5.9999999999999995E-4</v>
      </c>
      <c r="E42" s="33">
        <f t="shared" si="0"/>
        <v>2488.9954542373416</v>
      </c>
      <c r="F42">
        <f t="shared" si="1"/>
        <v>2489</v>
      </c>
      <c r="G42">
        <f t="shared" si="6"/>
        <v>-3.4738000031211413E-3</v>
      </c>
      <c r="K42">
        <f t="shared" si="7"/>
        <v>-3.4738000031211413E-3</v>
      </c>
      <c r="O42">
        <f t="shared" ca="1" si="2"/>
        <v>1.5060586354313427E-2</v>
      </c>
      <c r="Q42" s="2">
        <f t="shared" si="3"/>
        <v>39384.135000000002</v>
      </c>
    </row>
    <row r="43" spans="1:17">
      <c r="A43" s="40" t="s">
        <v>56</v>
      </c>
      <c r="B43" s="29" t="s">
        <v>47</v>
      </c>
      <c r="C43" s="30">
        <v>54403.785499999998</v>
      </c>
      <c r="D43" s="87">
        <v>5.0000000000000001E-4</v>
      </c>
      <c r="E43" s="33">
        <f t="shared" si="0"/>
        <v>2490.5009813079041</v>
      </c>
      <c r="F43">
        <f t="shared" si="1"/>
        <v>2490.5</v>
      </c>
      <c r="G43">
        <f t="shared" si="6"/>
        <v>7.4989999848185107E-4</v>
      </c>
      <c r="K43">
        <f t="shared" si="7"/>
        <v>7.4989999848185107E-4</v>
      </c>
      <c r="O43">
        <f t="shared" ca="1" si="2"/>
        <v>1.5052215376660367E-2</v>
      </c>
      <c r="Q43" s="2">
        <f t="shared" si="3"/>
        <v>39385.285499999998</v>
      </c>
    </row>
    <row r="44" spans="1:17">
      <c r="A44" s="40" t="s">
        <v>59</v>
      </c>
      <c r="B44" s="29" t="s">
        <v>36</v>
      </c>
      <c r="C44" s="30">
        <v>54554.715100000001</v>
      </c>
      <c r="D44" s="87">
        <v>5.0000000000000001E-4</v>
      </c>
      <c r="E44" s="33">
        <f t="shared" si="0"/>
        <v>2688.0051956059792</v>
      </c>
      <c r="F44">
        <f t="shared" si="1"/>
        <v>2688</v>
      </c>
      <c r="G44">
        <f t="shared" si="6"/>
        <v>3.9704000009805895E-3</v>
      </c>
      <c r="K44">
        <f t="shared" si="7"/>
        <v>3.9704000009805895E-3</v>
      </c>
      <c r="O44">
        <f t="shared" ca="1" si="2"/>
        <v>1.3950036652340654E-2</v>
      </c>
      <c r="Q44" s="2">
        <f t="shared" si="3"/>
        <v>39536.215100000001</v>
      </c>
    </row>
    <row r="45" spans="1:17">
      <c r="A45" s="40" t="s">
        <v>59</v>
      </c>
      <c r="B45" s="29" t="s">
        <v>47</v>
      </c>
      <c r="C45" s="30">
        <v>54559.680899999999</v>
      </c>
      <c r="D45" s="87">
        <v>8.9999999999999998E-4</v>
      </c>
      <c r="E45" s="33">
        <f t="shared" si="0"/>
        <v>2694.5033671201222</v>
      </c>
      <c r="F45">
        <f t="shared" si="1"/>
        <v>2694.5</v>
      </c>
      <c r="G45">
        <f t="shared" si="6"/>
        <v>2.5730999986990355E-3</v>
      </c>
      <c r="K45">
        <f t="shared" si="7"/>
        <v>2.5730999986990355E-3</v>
      </c>
      <c r="O45">
        <f t="shared" ca="1" si="2"/>
        <v>1.3913762415844055E-2</v>
      </c>
      <c r="Q45" s="2">
        <f t="shared" si="3"/>
        <v>39541.180899999999</v>
      </c>
    </row>
    <row r="46" spans="1:17">
      <c r="A46" s="40" t="s">
        <v>60</v>
      </c>
      <c r="B46" s="29" t="s">
        <v>36</v>
      </c>
      <c r="C46" s="30">
        <v>54771.747600000002</v>
      </c>
      <c r="D46" s="87">
        <v>8.0000000000000004E-4</v>
      </c>
      <c r="E46" s="33">
        <f t="shared" si="0"/>
        <v>2972.0106749131951</v>
      </c>
      <c r="F46">
        <f t="shared" si="1"/>
        <v>2972</v>
      </c>
      <c r="G46">
        <f t="shared" si="6"/>
        <v>8.1576000011409633E-3</v>
      </c>
      <c r="K46">
        <f t="shared" si="7"/>
        <v>8.1576000011409633E-3</v>
      </c>
      <c r="O46">
        <f t="shared" ca="1" si="2"/>
        <v>1.236513155002775E-2</v>
      </c>
      <c r="Q46" s="2">
        <f t="shared" si="3"/>
        <v>39753.247600000002</v>
      </c>
    </row>
    <row r="47" spans="1:17">
      <c r="A47" s="36" t="s">
        <v>53</v>
      </c>
      <c r="B47" s="37" t="s">
        <v>36</v>
      </c>
      <c r="C47" s="36">
        <v>54844.340300000003</v>
      </c>
      <c r="D47" s="90">
        <v>1.4E-3</v>
      </c>
      <c r="E47" s="33">
        <f t="shared" si="0"/>
        <v>3067.0043950136642</v>
      </c>
      <c r="F47">
        <f t="shared" si="1"/>
        <v>3067</v>
      </c>
      <c r="G47">
        <f t="shared" si="6"/>
        <v>3.3585999990464188E-3</v>
      </c>
      <c r="J47">
        <f>+G47</f>
        <v>3.3585999990464188E-3</v>
      </c>
      <c r="O47">
        <f t="shared" ca="1" si="2"/>
        <v>1.183496963200055E-2</v>
      </c>
      <c r="Q47" s="2">
        <f t="shared" si="3"/>
        <v>39825.840300000003</v>
      </c>
    </row>
    <row r="48" spans="1:17">
      <c r="A48" s="36" t="s">
        <v>48</v>
      </c>
      <c r="B48" s="37" t="s">
        <v>47</v>
      </c>
      <c r="C48" s="36">
        <v>54883.692799999997</v>
      </c>
      <c r="D48" s="90">
        <v>1E-4</v>
      </c>
      <c r="E48" s="33">
        <f t="shared" si="0"/>
        <v>3118.5004871861975</v>
      </c>
      <c r="F48">
        <f t="shared" si="1"/>
        <v>3118.5</v>
      </c>
      <c r="G48">
        <f t="shared" si="6"/>
        <v>3.7229999725241214E-4</v>
      </c>
      <c r="K48">
        <f t="shared" ref="K48:K57" si="8">+G48</f>
        <v>3.7229999725241214E-4</v>
      </c>
      <c r="O48">
        <f t="shared" ca="1" si="2"/>
        <v>1.1547566065912118E-2</v>
      </c>
      <c r="Q48" s="2">
        <f t="shared" si="3"/>
        <v>39865.192799999997</v>
      </c>
    </row>
    <row r="49" spans="1:17">
      <c r="A49" s="34" t="s">
        <v>46</v>
      </c>
      <c r="B49" s="35" t="s">
        <v>36</v>
      </c>
      <c r="C49" s="34">
        <v>54892.483899999999</v>
      </c>
      <c r="D49" s="89">
        <v>2.0000000000000001E-4</v>
      </c>
      <c r="E49" s="33">
        <f t="shared" si="0"/>
        <v>3130.0043889941676</v>
      </c>
      <c r="F49">
        <f t="shared" si="1"/>
        <v>3130</v>
      </c>
      <c r="G49">
        <f t="shared" si="6"/>
        <v>3.3539999931235798E-3</v>
      </c>
      <c r="K49">
        <f t="shared" si="8"/>
        <v>3.3539999931235798E-3</v>
      </c>
      <c r="O49">
        <f t="shared" ca="1" si="2"/>
        <v>1.1483388570571983E-2</v>
      </c>
      <c r="Q49" s="2">
        <f t="shared" si="3"/>
        <v>39873.983899999999</v>
      </c>
    </row>
    <row r="50" spans="1:17">
      <c r="A50" s="36" t="s">
        <v>48</v>
      </c>
      <c r="B50" s="37" t="s">
        <v>47</v>
      </c>
      <c r="C50" s="36">
        <v>54896.6875</v>
      </c>
      <c r="D50" s="90">
        <v>1E-4</v>
      </c>
      <c r="E50" s="33">
        <f t="shared" si="0"/>
        <v>3135.5051570027194</v>
      </c>
      <c r="F50">
        <f t="shared" si="1"/>
        <v>3135.5</v>
      </c>
      <c r="G50">
        <f t="shared" si="6"/>
        <v>3.9408999946317635E-3</v>
      </c>
      <c r="K50">
        <f t="shared" si="8"/>
        <v>3.9408999946317635E-3</v>
      </c>
      <c r="O50">
        <f t="shared" ca="1" si="2"/>
        <v>1.145269498584409E-2</v>
      </c>
      <c r="Q50" s="2">
        <f t="shared" si="3"/>
        <v>39878.1875</v>
      </c>
    </row>
    <row r="51" spans="1:17">
      <c r="A51" s="40" t="s">
        <v>57</v>
      </c>
      <c r="B51" s="29" t="s">
        <v>36</v>
      </c>
      <c r="C51" s="30">
        <v>54933.744899999998</v>
      </c>
      <c r="D51" s="87">
        <v>5.9999999999999995E-4</v>
      </c>
      <c r="E51" s="33">
        <f t="shared" si="0"/>
        <v>3183.9979156857671</v>
      </c>
      <c r="F51">
        <f t="shared" si="1"/>
        <v>3184</v>
      </c>
      <c r="G51">
        <f t="shared" si="6"/>
        <v>-1.5928000066196546E-3</v>
      </c>
      <c r="K51">
        <f t="shared" si="8"/>
        <v>-1.5928000066196546E-3</v>
      </c>
      <c r="O51">
        <f t="shared" ca="1" si="2"/>
        <v>1.1182033375061781E-2</v>
      </c>
      <c r="Q51" s="2">
        <f t="shared" si="3"/>
        <v>39915.244899999998</v>
      </c>
    </row>
    <row r="52" spans="1:17">
      <c r="A52" s="34" t="s">
        <v>46</v>
      </c>
      <c r="B52" s="35" t="s">
        <v>36</v>
      </c>
      <c r="C52" s="34">
        <v>54941.3923</v>
      </c>
      <c r="D52" s="89">
        <v>1E-4</v>
      </c>
      <c r="E52" s="33">
        <f t="shared" si="0"/>
        <v>3194.005188801335</v>
      </c>
      <c r="F52">
        <f t="shared" si="1"/>
        <v>3194</v>
      </c>
      <c r="G52">
        <f t="shared" si="6"/>
        <v>3.9651999977650121E-3</v>
      </c>
      <c r="K52">
        <f t="shared" si="8"/>
        <v>3.9651999977650121E-3</v>
      </c>
      <c r="O52">
        <f t="shared" ca="1" si="2"/>
        <v>1.1126226857374709E-2</v>
      </c>
      <c r="Q52" s="2">
        <f t="shared" si="3"/>
        <v>39922.8923</v>
      </c>
    </row>
    <row r="53" spans="1:17">
      <c r="A53" s="40" t="s">
        <v>61</v>
      </c>
      <c r="B53" s="29" t="s">
        <v>36</v>
      </c>
      <c r="C53" s="30">
        <v>55105.687700000002</v>
      </c>
      <c r="D53" s="87">
        <v>5.9999999999999995E-4</v>
      </c>
      <c r="E53" s="33">
        <f t="shared" ref="E53:E84" si="9">+(C53-C$7)/C$8</f>
        <v>3408.999688818481</v>
      </c>
      <c r="F53">
        <f t="shared" ref="F53:F84" si="10">ROUND(2*E53,0)/2</f>
        <v>3409</v>
      </c>
      <c r="G53">
        <f t="shared" si="6"/>
        <v>-2.3779999901307747E-4</v>
      </c>
      <c r="K53">
        <f t="shared" si="8"/>
        <v>-2.3779999901307747E-4</v>
      </c>
      <c r="O53">
        <f t="shared" ref="O53:O84" ca="1" si="11">+C$11+C$12*$F53</f>
        <v>9.9263867271026165E-3</v>
      </c>
      <c r="Q53" s="2">
        <f t="shared" ref="Q53:Q84" si="12">+C53-15018.5</f>
        <v>40087.187700000002</v>
      </c>
    </row>
    <row r="54" spans="1:17">
      <c r="A54" s="32" t="s">
        <v>49</v>
      </c>
      <c r="B54" s="33"/>
      <c r="C54" s="30">
        <v>55166.824999999997</v>
      </c>
      <c r="D54" s="87">
        <v>2E-3</v>
      </c>
      <c r="E54" s="33">
        <f t="shared" si="9"/>
        <v>3489.0030440304768</v>
      </c>
      <c r="F54">
        <f t="shared" si="10"/>
        <v>3489</v>
      </c>
      <c r="G54">
        <f t="shared" si="6"/>
        <v>2.3261999958776869E-3</v>
      </c>
      <c r="K54">
        <f t="shared" si="8"/>
        <v>2.3261999958776869E-3</v>
      </c>
      <c r="O54">
        <f t="shared" ca="1" si="11"/>
        <v>9.4799345856060244E-3</v>
      </c>
      <c r="Q54" s="2">
        <f t="shared" si="12"/>
        <v>40148.324999999997</v>
      </c>
    </row>
    <row r="55" spans="1:17">
      <c r="A55" s="39" t="s">
        <v>52</v>
      </c>
      <c r="B55" s="35" t="s">
        <v>47</v>
      </c>
      <c r="C55" s="34">
        <v>55211.530100000004</v>
      </c>
      <c r="D55" s="89">
        <v>1E-4</v>
      </c>
      <c r="E55" s="33">
        <f t="shared" si="9"/>
        <v>3547.5034684046086</v>
      </c>
      <c r="F55">
        <f t="shared" si="10"/>
        <v>3547.5</v>
      </c>
      <c r="G55">
        <f t="shared" si="6"/>
        <v>2.6504999987082556E-3</v>
      </c>
      <c r="K55">
        <f t="shared" si="8"/>
        <v>2.6504999987082556E-3</v>
      </c>
      <c r="O55">
        <f t="shared" ca="1" si="11"/>
        <v>9.15346645713664E-3</v>
      </c>
      <c r="Q55" s="2">
        <f t="shared" si="12"/>
        <v>40193.030100000004</v>
      </c>
    </row>
    <row r="56" spans="1:17">
      <c r="A56" s="40" t="s">
        <v>61</v>
      </c>
      <c r="B56" s="29" t="s">
        <v>36</v>
      </c>
      <c r="C56" s="30">
        <v>55246.684000000001</v>
      </c>
      <c r="D56" s="87">
        <v>4.0000000000000002E-4</v>
      </c>
      <c r="E56" s="33">
        <f t="shared" si="9"/>
        <v>3593.5053354937181</v>
      </c>
      <c r="F56">
        <f t="shared" si="10"/>
        <v>3593.5</v>
      </c>
      <c r="G56">
        <f t="shared" si="6"/>
        <v>4.077300000062678E-3</v>
      </c>
      <c r="K56">
        <f t="shared" si="8"/>
        <v>4.077300000062678E-3</v>
      </c>
      <c r="O56">
        <f t="shared" ca="1" si="11"/>
        <v>8.8967564757761013E-3</v>
      </c>
      <c r="Q56" s="2">
        <f t="shared" si="12"/>
        <v>40228.184000000001</v>
      </c>
    </row>
    <row r="57" spans="1:17">
      <c r="A57" s="39" t="s">
        <v>52</v>
      </c>
      <c r="B57" s="35" t="s">
        <v>47</v>
      </c>
      <c r="C57" s="34">
        <v>55263.4925</v>
      </c>
      <c r="D57" s="89">
        <v>2.0000000000000001E-4</v>
      </c>
      <c r="E57" s="33">
        <f t="shared" si="9"/>
        <v>3615.5006868762766</v>
      </c>
      <c r="F57">
        <f t="shared" si="10"/>
        <v>3615.5</v>
      </c>
      <c r="G57">
        <f t="shared" si="6"/>
        <v>5.2489999507088214E-4</v>
      </c>
      <c r="K57">
        <f t="shared" si="8"/>
        <v>5.2489999507088214E-4</v>
      </c>
      <c r="O57">
        <f t="shared" ca="1" si="11"/>
        <v>8.7739821368645367E-3</v>
      </c>
      <c r="Q57" s="2">
        <f t="shared" si="12"/>
        <v>40244.9925</v>
      </c>
    </row>
    <row r="58" spans="1:17">
      <c r="A58" s="36" t="s">
        <v>54</v>
      </c>
      <c r="B58" s="37" t="s">
        <v>36</v>
      </c>
      <c r="C58" s="36">
        <v>55263.496899999998</v>
      </c>
      <c r="D58" s="90">
        <v>1.46E-2</v>
      </c>
      <c r="E58" s="33">
        <f t="shared" si="9"/>
        <v>3615.5064446503811</v>
      </c>
      <c r="F58">
        <f t="shared" si="10"/>
        <v>3615.5</v>
      </c>
      <c r="G58">
        <f t="shared" si="6"/>
        <v>4.9248999930568971E-3</v>
      </c>
      <c r="J58">
        <f>+G58</f>
        <v>4.9248999930568971E-3</v>
      </c>
      <c r="O58">
        <f t="shared" ca="1" si="11"/>
        <v>8.7739821368645367E-3</v>
      </c>
      <c r="Q58" s="2">
        <f t="shared" si="12"/>
        <v>40244.996899999998</v>
      </c>
    </row>
    <row r="59" spans="1:17">
      <c r="A59" s="39" t="s">
        <v>52</v>
      </c>
      <c r="B59" s="35" t="s">
        <v>36</v>
      </c>
      <c r="C59" s="34">
        <v>55265.402699999999</v>
      </c>
      <c r="D59" s="89">
        <v>2.0000000000000001E-4</v>
      </c>
      <c r="E59" s="33">
        <f t="shared" si="9"/>
        <v>3618.0003459898753</v>
      </c>
      <c r="F59">
        <f t="shared" si="10"/>
        <v>3618</v>
      </c>
      <c r="G59">
        <f t="shared" si="6"/>
        <v>2.6439999783178791E-4</v>
      </c>
      <c r="K59">
        <f>+G59</f>
        <v>2.6439999783178791E-4</v>
      </c>
      <c r="O59">
        <f t="shared" ca="1" si="11"/>
        <v>8.7600305074427703E-3</v>
      </c>
      <c r="Q59" s="2">
        <f t="shared" si="12"/>
        <v>40246.902699999999</v>
      </c>
    </row>
    <row r="60" spans="1:17">
      <c r="A60" s="39" t="s">
        <v>63</v>
      </c>
      <c r="B60" s="35" t="s">
        <v>36</v>
      </c>
      <c r="C60" s="34">
        <v>55372.393499999998</v>
      </c>
      <c r="D60" s="89">
        <v>2.2000000000000001E-3</v>
      </c>
      <c r="E60" s="33">
        <f t="shared" si="9"/>
        <v>3758.0069046180174</v>
      </c>
      <c r="F60">
        <f t="shared" si="10"/>
        <v>3758</v>
      </c>
      <c r="G60">
        <f t="shared" si="6"/>
        <v>5.2763999919989146E-3</v>
      </c>
      <c r="K60">
        <f>+G60</f>
        <v>5.2763999919989146E-3</v>
      </c>
      <c r="O60">
        <f t="shared" ca="1" si="11"/>
        <v>7.978739259823734E-3</v>
      </c>
      <c r="Q60" s="2">
        <f t="shared" si="12"/>
        <v>40353.893499999998</v>
      </c>
    </row>
    <row r="61" spans="1:17">
      <c r="A61" s="39" t="s">
        <v>52</v>
      </c>
      <c r="B61" s="35" t="s">
        <v>36</v>
      </c>
      <c r="C61" s="34">
        <v>55501.535300000003</v>
      </c>
      <c r="D61" s="89">
        <v>4.0000000000000002E-4</v>
      </c>
      <c r="E61" s="33">
        <f t="shared" si="9"/>
        <v>3926.9999301215607</v>
      </c>
      <c r="F61">
        <f t="shared" si="10"/>
        <v>3927</v>
      </c>
      <c r="G61">
        <f t="shared" si="6"/>
        <v>-5.3399999160319567E-5</v>
      </c>
      <c r="K61">
        <f>+G61</f>
        <v>-5.3399999160319567E-5</v>
      </c>
      <c r="O61">
        <f t="shared" ca="1" si="11"/>
        <v>7.0356091109121804E-3</v>
      </c>
      <c r="Q61" s="2">
        <f t="shared" si="12"/>
        <v>40483.035300000003</v>
      </c>
    </row>
    <row r="62" spans="1:17">
      <c r="A62" s="30" t="s">
        <v>62</v>
      </c>
      <c r="B62" s="29" t="s">
        <v>47</v>
      </c>
      <c r="C62" s="30">
        <v>55544.709000000003</v>
      </c>
      <c r="D62" s="87">
        <v>5.9999999999999995E-4</v>
      </c>
      <c r="E62" s="33">
        <f t="shared" si="9"/>
        <v>3983.4963873893234</v>
      </c>
      <c r="F62">
        <f t="shared" si="10"/>
        <v>3983.5</v>
      </c>
      <c r="G62">
        <f t="shared" si="6"/>
        <v>-2.7607000010902993E-3</v>
      </c>
      <c r="K62">
        <f>+G62</f>
        <v>-2.7607000010902993E-3</v>
      </c>
      <c r="O62">
        <f t="shared" ca="1" si="11"/>
        <v>6.7203022859802126E-3</v>
      </c>
      <c r="Q62" s="2">
        <f t="shared" si="12"/>
        <v>40526.209000000003</v>
      </c>
    </row>
    <row r="63" spans="1:17">
      <c r="A63" s="36" t="s">
        <v>55</v>
      </c>
      <c r="B63" s="37" t="s">
        <v>36</v>
      </c>
      <c r="C63" s="36">
        <v>55644.437299999998</v>
      </c>
      <c r="D63" s="90">
        <v>1.44E-2</v>
      </c>
      <c r="E63" s="33">
        <f t="shared" si="9"/>
        <v>4113.9993472777833</v>
      </c>
      <c r="F63">
        <f t="shared" si="10"/>
        <v>4114</v>
      </c>
      <c r="G63">
        <f t="shared" si="6"/>
        <v>-4.9880000733537599E-4</v>
      </c>
      <c r="J63">
        <f>+G63</f>
        <v>-4.9880000733537599E-4</v>
      </c>
      <c r="O63">
        <f t="shared" ca="1" si="11"/>
        <v>5.9920272301638954E-3</v>
      </c>
      <c r="Q63" s="2">
        <f t="shared" si="12"/>
        <v>40625.937299999998</v>
      </c>
    </row>
    <row r="64" spans="1:17">
      <c r="A64" s="54" t="s">
        <v>266</v>
      </c>
      <c r="B64" s="55" t="s">
        <v>36</v>
      </c>
      <c r="C64" s="54">
        <v>55887.445500000002</v>
      </c>
      <c r="D64" s="88" t="s">
        <v>79</v>
      </c>
      <c r="E64" s="33">
        <f t="shared" si="9"/>
        <v>4431.9962386032048</v>
      </c>
      <c r="F64">
        <f t="shared" si="10"/>
        <v>4432</v>
      </c>
      <c r="G64">
        <f t="shared" si="6"/>
        <v>-2.8744000010192394E-3</v>
      </c>
      <c r="K64">
        <f t="shared" ref="K64:K70" si="13">+G64</f>
        <v>-2.8744000010192394E-3</v>
      </c>
      <c r="O64">
        <f t="shared" ca="1" si="11"/>
        <v>4.2173799677149432E-3</v>
      </c>
      <c r="Q64" s="2">
        <f t="shared" si="12"/>
        <v>40868.945500000002</v>
      </c>
    </row>
    <row r="65" spans="1:21">
      <c r="A65" s="40" t="s">
        <v>58</v>
      </c>
      <c r="B65" s="29" t="s">
        <v>36</v>
      </c>
      <c r="C65" s="30">
        <v>55905.787400000001</v>
      </c>
      <c r="D65" s="87">
        <v>4.0000000000000002E-4</v>
      </c>
      <c r="E65" s="33">
        <f t="shared" si="9"/>
        <v>4455.9981742621721</v>
      </c>
      <c r="F65">
        <f t="shared" si="10"/>
        <v>4456</v>
      </c>
      <c r="G65">
        <f t="shared" si="6"/>
        <v>-1.3952000008430332E-3</v>
      </c>
      <c r="K65">
        <f t="shared" si="13"/>
        <v>-1.3952000008430332E-3</v>
      </c>
      <c r="O65">
        <f t="shared" ca="1" si="11"/>
        <v>4.0834443252659655E-3</v>
      </c>
      <c r="Q65" s="2">
        <f t="shared" si="12"/>
        <v>40887.287400000001</v>
      </c>
    </row>
    <row r="66" spans="1:21">
      <c r="A66" s="40" t="s">
        <v>66</v>
      </c>
      <c r="B66" s="29" t="s">
        <v>36</v>
      </c>
      <c r="C66" s="30">
        <v>55905.787400000001</v>
      </c>
      <c r="D66" s="87">
        <v>4.0000000000000002E-4</v>
      </c>
      <c r="E66" s="33">
        <f t="shared" si="9"/>
        <v>4455.9981742621721</v>
      </c>
      <c r="F66">
        <f t="shared" si="10"/>
        <v>4456</v>
      </c>
      <c r="G66">
        <f t="shared" si="6"/>
        <v>-1.3952000008430332E-3</v>
      </c>
      <c r="K66">
        <f t="shared" si="13"/>
        <v>-1.3952000008430332E-3</v>
      </c>
      <c r="O66">
        <f t="shared" ca="1" si="11"/>
        <v>4.0834443252659655E-3</v>
      </c>
      <c r="Q66" s="2">
        <f t="shared" si="12"/>
        <v>40887.287400000001</v>
      </c>
    </row>
    <row r="67" spans="1:21">
      <c r="A67" s="40" t="s">
        <v>65</v>
      </c>
      <c r="B67" s="29" t="s">
        <v>36</v>
      </c>
      <c r="C67" s="30">
        <v>55928.715400000001</v>
      </c>
      <c r="D67" s="87">
        <v>8.9999999999999998E-4</v>
      </c>
      <c r="E67" s="33">
        <f t="shared" si="9"/>
        <v>4486.0014117015226</v>
      </c>
      <c r="F67">
        <f t="shared" si="10"/>
        <v>4486</v>
      </c>
      <c r="G67">
        <f t="shared" si="6"/>
        <v>1.0787999999593012E-3</v>
      </c>
      <c r="K67">
        <f t="shared" si="13"/>
        <v>1.0787999999593012E-3</v>
      </c>
      <c r="O67">
        <f t="shared" ca="1" si="11"/>
        <v>3.9160247722047417E-3</v>
      </c>
      <c r="Q67" s="2">
        <f t="shared" si="12"/>
        <v>40910.215400000001</v>
      </c>
    </row>
    <row r="68" spans="1:21">
      <c r="A68" s="38" t="s">
        <v>64</v>
      </c>
      <c r="B68" s="33"/>
      <c r="C68" s="30">
        <v>55939.794000000002</v>
      </c>
      <c r="D68" s="87">
        <v>2.0000000000000001E-4</v>
      </c>
      <c r="E68" s="33">
        <f t="shared" si="9"/>
        <v>4500.4987017527965</v>
      </c>
      <c r="F68">
        <f t="shared" si="10"/>
        <v>4500.5</v>
      </c>
      <c r="G68">
        <f t="shared" si="6"/>
        <v>-9.9210000189486891E-4</v>
      </c>
      <c r="K68">
        <f t="shared" si="13"/>
        <v>-9.9210000189486891E-4</v>
      </c>
      <c r="O68">
        <f t="shared" ca="1" si="11"/>
        <v>3.8351053215584865E-3</v>
      </c>
      <c r="Q68" s="2">
        <f t="shared" si="12"/>
        <v>40921.294000000002</v>
      </c>
    </row>
    <row r="69" spans="1:21">
      <c r="A69" s="40" t="s">
        <v>65</v>
      </c>
      <c r="B69" s="29" t="s">
        <v>47</v>
      </c>
      <c r="C69" s="30">
        <v>56195.795400000003</v>
      </c>
      <c r="D69" s="87">
        <v>5.0000000000000001E-4</v>
      </c>
      <c r="E69" s="33">
        <f t="shared" si="9"/>
        <v>4835.4983000171951</v>
      </c>
      <c r="F69">
        <f t="shared" si="10"/>
        <v>4835.5</v>
      </c>
      <c r="G69">
        <f t="shared" si="6"/>
        <v>-1.2990999966859818E-3</v>
      </c>
      <c r="K69">
        <f t="shared" si="13"/>
        <v>-1.2990999966859818E-3</v>
      </c>
      <c r="O69">
        <f t="shared" ca="1" si="11"/>
        <v>1.9655869790415059E-3</v>
      </c>
      <c r="Q69" s="2">
        <f t="shared" si="12"/>
        <v>41177.295400000003</v>
      </c>
    </row>
    <row r="70" spans="1:21">
      <c r="A70" s="40" t="s">
        <v>68</v>
      </c>
      <c r="B70" s="29" t="s">
        <v>47</v>
      </c>
      <c r="C70" s="30">
        <v>56603.867299999998</v>
      </c>
      <c r="D70" s="87">
        <v>5.9999999999999995E-4</v>
      </c>
      <c r="E70" s="33">
        <f t="shared" si="9"/>
        <v>5369.4950772339907</v>
      </c>
      <c r="F70">
        <f t="shared" si="10"/>
        <v>5369.5</v>
      </c>
      <c r="G70">
        <f t="shared" si="6"/>
        <v>-3.7619000067934394E-3</v>
      </c>
      <c r="K70">
        <f t="shared" si="13"/>
        <v>-3.7619000067934394E-3</v>
      </c>
      <c r="O70">
        <f t="shared" ca="1" si="11"/>
        <v>-1.0144810654482486E-3</v>
      </c>
      <c r="Q70" s="2">
        <f t="shared" si="12"/>
        <v>41585.367299999998</v>
      </c>
    </row>
    <row r="71" spans="1:21">
      <c r="A71" s="39" t="s">
        <v>67</v>
      </c>
      <c r="B71" s="35" t="s">
        <v>36</v>
      </c>
      <c r="C71" s="30">
        <v>56654.304600000003</v>
      </c>
      <c r="D71" s="89">
        <v>8.8999999999999999E-3</v>
      </c>
      <c r="E71" s="33">
        <f t="shared" si="9"/>
        <v>5435.4965726849632</v>
      </c>
      <c r="F71">
        <f t="shared" si="10"/>
        <v>5435.5</v>
      </c>
      <c r="G71">
        <f t="shared" si="6"/>
        <v>-2.619099999719765E-3</v>
      </c>
      <c r="J71">
        <f>+G71</f>
        <v>-2.619099999719765E-3</v>
      </c>
      <c r="O71">
        <f t="shared" ca="1" si="11"/>
        <v>-1.3828040821829354E-3</v>
      </c>
      <c r="Q71" s="2">
        <f t="shared" si="12"/>
        <v>41635.804600000003</v>
      </c>
    </row>
    <row r="72" spans="1:21">
      <c r="A72" s="39" t="s">
        <v>67</v>
      </c>
      <c r="B72" s="35" t="s">
        <v>36</v>
      </c>
      <c r="C72" s="30">
        <v>56654.688499999997</v>
      </c>
      <c r="D72" s="89">
        <v>4.5999999999999999E-3</v>
      </c>
      <c r="E72" s="33">
        <f t="shared" si="9"/>
        <v>5435.9989384758201</v>
      </c>
      <c r="F72">
        <f t="shared" si="10"/>
        <v>5436</v>
      </c>
      <c r="G72">
        <f t="shared" si="6"/>
        <v>-8.1120000686496496E-4</v>
      </c>
      <c r="J72">
        <f>+G72</f>
        <v>-8.1120000686496496E-4</v>
      </c>
      <c r="O72">
        <f t="shared" ca="1" si="11"/>
        <v>-1.3855944080672887E-3</v>
      </c>
      <c r="Q72" s="2">
        <f t="shared" si="12"/>
        <v>41636.188499999997</v>
      </c>
    </row>
    <row r="73" spans="1:21">
      <c r="A73" s="30" t="s">
        <v>303</v>
      </c>
      <c r="B73" s="29" t="s">
        <v>36</v>
      </c>
      <c r="C73" s="30">
        <v>56746.393300000003</v>
      </c>
      <c r="D73" s="87">
        <v>2.9999999999999997E-4</v>
      </c>
      <c r="E73" s="33">
        <f t="shared" si="9"/>
        <v>5556.002466421055</v>
      </c>
      <c r="F73">
        <f t="shared" si="10"/>
        <v>5556</v>
      </c>
      <c r="G73">
        <f t="shared" si="6"/>
        <v>1.8848000036086887E-3</v>
      </c>
      <c r="K73">
        <f>+G73</f>
        <v>1.8848000036086887E-3</v>
      </c>
      <c r="O73">
        <f t="shared" ca="1" si="11"/>
        <v>-2.055272620312177E-3</v>
      </c>
      <c r="Q73" s="2">
        <f t="shared" si="12"/>
        <v>41727.893300000003</v>
      </c>
    </row>
    <row r="74" spans="1:21">
      <c r="A74" s="40" t="s">
        <v>68</v>
      </c>
      <c r="B74" s="29" t="s">
        <v>47</v>
      </c>
      <c r="C74" s="30">
        <v>56924.824000000001</v>
      </c>
      <c r="D74" s="87">
        <v>5.0000000000000001E-4</v>
      </c>
      <c r="E74" s="33">
        <f t="shared" si="9"/>
        <v>5789.4942083335382</v>
      </c>
      <c r="F74">
        <f t="shared" si="10"/>
        <v>5789.5</v>
      </c>
      <c r="G74">
        <f t="shared" si="6"/>
        <v>-4.4258999987505376E-3</v>
      </c>
      <c r="K74">
        <f>+G74</f>
        <v>-4.4258999987505376E-3</v>
      </c>
      <c r="O74">
        <f t="shared" ca="1" si="11"/>
        <v>-3.3583548083053576E-3</v>
      </c>
      <c r="Q74" s="2">
        <f t="shared" si="12"/>
        <v>41906.324000000001</v>
      </c>
    </row>
    <row r="75" spans="1:21">
      <c r="A75" s="30" t="s">
        <v>303</v>
      </c>
      <c r="B75" s="29" t="s">
        <v>36</v>
      </c>
      <c r="C75" s="30">
        <v>57102.494500000001</v>
      </c>
      <c r="D75" s="87">
        <v>2.9999999999999997E-4</v>
      </c>
      <c r="E75" s="33">
        <f t="shared" si="9"/>
        <v>6021.9911639104794</v>
      </c>
      <c r="F75">
        <f t="shared" si="10"/>
        <v>6022</v>
      </c>
      <c r="G75">
        <f t="shared" si="6"/>
        <v>-6.7524000041885301E-3</v>
      </c>
      <c r="K75">
        <f>+G75</f>
        <v>-6.7524000041885301E-3</v>
      </c>
      <c r="O75">
        <f t="shared" ca="1" si="11"/>
        <v>-4.6558563445298247E-3</v>
      </c>
      <c r="Q75" s="2">
        <f t="shared" si="12"/>
        <v>42083.994500000001</v>
      </c>
    </row>
    <row r="76" spans="1:21">
      <c r="A76" s="30" t="s">
        <v>303</v>
      </c>
      <c r="B76" s="29" t="s">
        <v>36</v>
      </c>
      <c r="C76" s="30">
        <v>57122.362800000003</v>
      </c>
      <c r="D76" s="87">
        <v>4.0000000000000002E-4</v>
      </c>
      <c r="E76" s="33">
        <f t="shared" si="9"/>
        <v>6047.9905237506873</v>
      </c>
      <c r="F76">
        <f t="shared" si="10"/>
        <v>6048</v>
      </c>
      <c r="G76">
        <f t="shared" si="6"/>
        <v>-7.2416000039083883E-3</v>
      </c>
      <c r="K76">
        <f>+G76</f>
        <v>-7.2416000039083883E-3</v>
      </c>
      <c r="O76">
        <f t="shared" ca="1" si="11"/>
        <v>-4.8009532905162224E-3</v>
      </c>
      <c r="Q76" s="2">
        <f t="shared" si="12"/>
        <v>42103.862800000003</v>
      </c>
    </row>
    <row r="77" spans="1:21">
      <c r="A77" s="58" t="s">
        <v>1</v>
      </c>
      <c r="B77" s="59" t="s">
        <v>36</v>
      </c>
      <c r="C77" s="60">
        <v>57296.5121</v>
      </c>
      <c r="D77" s="91">
        <v>1E-3</v>
      </c>
      <c r="E77" s="33">
        <f t="shared" si="9"/>
        <v>6275.8796897397215</v>
      </c>
      <c r="F77">
        <f t="shared" si="10"/>
        <v>6276</v>
      </c>
      <c r="O77">
        <f t="shared" ca="1" si="11"/>
        <v>-6.0733418937815066E-3</v>
      </c>
      <c r="Q77" s="2">
        <f t="shared" si="12"/>
        <v>42278.0121</v>
      </c>
      <c r="U77">
        <f>+C77-(C$7+F77*C$8)</f>
        <v>-9.1939199999615084E-2</v>
      </c>
    </row>
    <row r="78" spans="1:21">
      <c r="A78" s="36" t="s">
        <v>305</v>
      </c>
      <c r="B78" s="37" t="s">
        <v>47</v>
      </c>
      <c r="C78" s="30">
        <v>57329.838300000003</v>
      </c>
      <c r="D78" s="87">
        <v>2.9999999999999997E-4</v>
      </c>
      <c r="E78" s="33">
        <f t="shared" si="9"/>
        <v>6319.4898559797502</v>
      </c>
      <c r="F78">
        <f t="shared" si="10"/>
        <v>6319.5</v>
      </c>
      <c r="G78">
        <f t="shared" ref="G78:G98" si="14">+C78-(C$7+F78*C$8)</f>
        <v>-7.7518999969470315E-3</v>
      </c>
      <c r="K78">
        <f t="shared" ref="K78:K98" si="15">+G78</f>
        <v>-7.7518999969470315E-3</v>
      </c>
      <c r="O78">
        <f t="shared" ca="1" si="11"/>
        <v>-6.316100245720279E-3</v>
      </c>
      <c r="Q78" s="2">
        <f t="shared" si="12"/>
        <v>42311.338300000003</v>
      </c>
    </row>
    <row r="79" spans="1:21">
      <c r="A79" s="36" t="s">
        <v>305</v>
      </c>
      <c r="B79" s="37" t="s">
        <v>47</v>
      </c>
      <c r="C79" s="30">
        <v>57398.615700000002</v>
      </c>
      <c r="D79" s="87">
        <v>2.9999999999999997E-4</v>
      </c>
      <c r="E79" s="33">
        <f t="shared" si="9"/>
        <v>6409.4909316366393</v>
      </c>
      <c r="F79">
        <f t="shared" si="10"/>
        <v>6409.5</v>
      </c>
      <c r="G79">
        <f t="shared" si="14"/>
        <v>-6.9299000024329871E-3</v>
      </c>
      <c r="K79">
        <f t="shared" si="15"/>
        <v>-6.9299000024329871E-3</v>
      </c>
      <c r="O79">
        <f t="shared" ca="1" si="11"/>
        <v>-6.8183589049039435E-3</v>
      </c>
      <c r="Q79" s="2">
        <f t="shared" si="12"/>
        <v>42380.115700000002</v>
      </c>
    </row>
    <row r="80" spans="1:21">
      <c r="A80" s="61" t="s">
        <v>304</v>
      </c>
      <c r="B80" s="62" t="s">
        <v>36</v>
      </c>
      <c r="C80" s="63">
        <v>57414.284079999998</v>
      </c>
      <c r="D80" s="92">
        <v>1E-3</v>
      </c>
      <c r="E80" s="33">
        <f t="shared" si="9"/>
        <v>6429.9943390611779</v>
      </c>
      <c r="F80">
        <f t="shared" si="10"/>
        <v>6430</v>
      </c>
      <c r="G80">
        <f t="shared" si="14"/>
        <v>-4.3260000020381995E-3</v>
      </c>
      <c r="K80">
        <f t="shared" si="15"/>
        <v>-4.3260000020381995E-3</v>
      </c>
      <c r="O80">
        <f t="shared" ca="1" si="11"/>
        <v>-6.9327622661624518E-3</v>
      </c>
      <c r="Q80" s="2">
        <f t="shared" si="12"/>
        <v>42395.784079999998</v>
      </c>
    </row>
    <row r="81" spans="1:17">
      <c r="A81" s="36" t="s">
        <v>306</v>
      </c>
      <c r="B81" s="37" t="s">
        <v>36</v>
      </c>
      <c r="C81" s="30">
        <v>57684.799800000001</v>
      </c>
      <c r="D81" s="87">
        <v>4.0000000000000002E-4</v>
      </c>
      <c r="E81" s="33">
        <f t="shared" si="9"/>
        <v>6783.9871591168703</v>
      </c>
      <c r="F81">
        <f t="shared" si="10"/>
        <v>6784</v>
      </c>
      <c r="G81">
        <f t="shared" si="14"/>
        <v>-9.8128000026918016E-3</v>
      </c>
      <c r="K81">
        <f t="shared" si="15"/>
        <v>-9.8128000026918016E-3</v>
      </c>
      <c r="O81">
        <f t="shared" ca="1" si="11"/>
        <v>-8.9083129922848704E-3</v>
      </c>
      <c r="Q81" s="2">
        <f t="shared" si="12"/>
        <v>42666.299800000001</v>
      </c>
    </row>
    <row r="82" spans="1:17">
      <c r="A82" s="71" t="s">
        <v>313</v>
      </c>
      <c r="B82" s="72" t="s">
        <v>36</v>
      </c>
      <c r="C82" s="73">
        <v>57754.344049999956</v>
      </c>
      <c r="D82" s="93">
        <v>4.0000000000000002E-4</v>
      </c>
      <c r="E82" s="33">
        <f t="shared" si="9"/>
        <v>6874.9917231996596</v>
      </c>
      <c r="F82">
        <f t="shared" si="10"/>
        <v>6875</v>
      </c>
      <c r="G82">
        <f t="shared" si="14"/>
        <v>-6.325000045762863E-3</v>
      </c>
      <c r="K82">
        <f t="shared" si="15"/>
        <v>-6.325000045762863E-3</v>
      </c>
      <c r="O82">
        <f t="shared" ca="1" si="11"/>
        <v>-9.4161523032372414E-3</v>
      </c>
      <c r="Q82" s="2">
        <f t="shared" si="12"/>
        <v>42735.844049999956</v>
      </c>
    </row>
    <row r="83" spans="1:17">
      <c r="A83" s="64" t="s">
        <v>307</v>
      </c>
      <c r="B83" s="65" t="s">
        <v>36</v>
      </c>
      <c r="C83" s="66">
        <v>57811.656499999997</v>
      </c>
      <c r="D83" s="94">
        <v>2.9999999999999997E-4</v>
      </c>
      <c r="E83" s="33">
        <f t="shared" si="9"/>
        <v>6949.9899369811556</v>
      </c>
      <c r="F83">
        <f t="shared" si="10"/>
        <v>6950</v>
      </c>
      <c r="G83">
        <f t="shared" si="14"/>
        <v>-7.6900000058230944E-3</v>
      </c>
      <c r="K83">
        <f t="shared" si="15"/>
        <v>-7.6900000058230944E-3</v>
      </c>
      <c r="O83">
        <f t="shared" ca="1" si="11"/>
        <v>-9.8347011858903009E-3</v>
      </c>
      <c r="Q83" s="2">
        <f t="shared" si="12"/>
        <v>42793.156499999997</v>
      </c>
    </row>
    <row r="84" spans="1:17">
      <c r="A84" s="64" t="s">
        <v>308</v>
      </c>
      <c r="B84" s="67" t="s">
        <v>36</v>
      </c>
      <c r="C84" s="64">
        <v>58083.698799999998</v>
      </c>
      <c r="D84" s="95">
        <v>2.9999999999999997E-4</v>
      </c>
      <c r="E84" s="33">
        <f t="shared" si="9"/>
        <v>7305.9804167633874</v>
      </c>
      <c r="F84">
        <f t="shared" si="10"/>
        <v>7306</v>
      </c>
      <c r="G84">
        <f t="shared" si="14"/>
        <v>-1.4965200003643986E-2</v>
      </c>
      <c r="K84">
        <f t="shared" si="15"/>
        <v>-1.4965200003643986E-2</v>
      </c>
      <c r="O84">
        <f t="shared" ca="1" si="11"/>
        <v>-1.1821413215550133E-2</v>
      </c>
      <c r="Q84" s="2">
        <f t="shared" si="12"/>
        <v>43065.198799999998</v>
      </c>
    </row>
    <row r="85" spans="1:17">
      <c r="A85" s="64" t="s">
        <v>308</v>
      </c>
      <c r="B85" s="67" t="s">
        <v>47</v>
      </c>
      <c r="C85" s="64">
        <v>58107.7742</v>
      </c>
      <c r="D85" s="95">
        <v>5.0000000000000001E-4</v>
      </c>
      <c r="E85" s="33">
        <f t="shared" ref="E85:E98" si="16">+(C85-C$7)/C$8</f>
        <v>7337.4851246597318</v>
      </c>
      <c r="F85">
        <f t="shared" ref="F85:F98" si="17">ROUND(2*E85,0)/2</f>
        <v>7337.5</v>
      </c>
      <c r="G85">
        <f t="shared" si="14"/>
        <v>-1.1367500002961606E-2</v>
      </c>
      <c r="K85">
        <f t="shared" si="15"/>
        <v>-1.1367500002961606E-2</v>
      </c>
      <c r="O85">
        <f t="shared" ref="O85:O98" ca="1" si="18">+C$11+C$12*$F85</f>
        <v>-1.199720374626442E-2</v>
      </c>
      <c r="Q85" s="2">
        <f t="shared" ref="Q85:Q98" si="19">+C85-15018.5</f>
        <v>43089.2742</v>
      </c>
    </row>
    <row r="86" spans="1:17">
      <c r="A86" s="68" t="s">
        <v>309</v>
      </c>
      <c r="B86" s="69" t="s">
        <v>47</v>
      </c>
      <c r="C86" s="70">
        <v>58195.6558</v>
      </c>
      <c r="D86" s="96">
        <v>2.0000000000000001E-4</v>
      </c>
      <c r="E86" s="33">
        <f t="shared" si="16"/>
        <v>7452.4856703396881</v>
      </c>
      <c r="F86">
        <f t="shared" si="17"/>
        <v>7452.5</v>
      </c>
      <c r="G86">
        <f t="shared" si="14"/>
        <v>-1.095050000003539E-2</v>
      </c>
      <c r="K86">
        <f t="shared" si="15"/>
        <v>-1.095050000003539E-2</v>
      </c>
      <c r="O86">
        <f t="shared" ca="1" si="18"/>
        <v>-1.2638978699665768E-2</v>
      </c>
      <c r="Q86" s="2">
        <f t="shared" si="19"/>
        <v>43177.1558</v>
      </c>
    </row>
    <row r="87" spans="1:17">
      <c r="A87" s="66" t="s">
        <v>0</v>
      </c>
      <c r="B87" s="67" t="s">
        <v>47</v>
      </c>
      <c r="C87" s="66">
        <v>58470.759100000003</v>
      </c>
      <c r="D87" s="94">
        <v>2.9999999999999997E-4</v>
      </c>
      <c r="E87" s="33">
        <f t="shared" si="16"/>
        <v>7812.4817288815975</v>
      </c>
      <c r="F87">
        <f t="shared" si="17"/>
        <v>7812.5</v>
      </c>
      <c r="G87">
        <f t="shared" si="14"/>
        <v>-1.3962500001071021E-2</v>
      </c>
      <c r="K87">
        <f t="shared" si="15"/>
        <v>-1.3962500001071021E-2</v>
      </c>
      <c r="O87">
        <f t="shared" ca="1" si="18"/>
        <v>-1.4648013336400433E-2</v>
      </c>
      <c r="Q87" s="2">
        <f t="shared" si="19"/>
        <v>43452.259100000003</v>
      </c>
    </row>
    <row r="88" spans="1:17">
      <c r="A88" s="66" t="s">
        <v>0</v>
      </c>
      <c r="B88" s="67" t="s">
        <v>47</v>
      </c>
      <c r="C88" s="66">
        <v>58493.681600000004</v>
      </c>
      <c r="D88" s="94">
        <v>4.0000000000000002E-4</v>
      </c>
      <c r="E88" s="33">
        <f t="shared" si="16"/>
        <v>7842.4777691033141</v>
      </c>
      <c r="F88">
        <f t="shared" si="17"/>
        <v>7842.5</v>
      </c>
      <c r="G88">
        <f t="shared" si="14"/>
        <v>-1.6988499999570195E-2</v>
      </c>
      <c r="K88">
        <f t="shared" si="15"/>
        <v>-1.6988499999570195E-2</v>
      </c>
      <c r="O88">
        <f t="shared" ca="1" si="18"/>
        <v>-1.4815432889461657E-2</v>
      </c>
      <c r="Q88" s="2">
        <f t="shared" si="19"/>
        <v>43475.181600000004</v>
      </c>
    </row>
    <row r="89" spans="1:17">
      <c r="A89" s="68" t="s">
        <v>310</v>
      </c>
      <c r="B89" s="69" t="s">
        <v>36</v>
      </c>
      <c r="C89" s="70">
        <v>58514.701300000001</v>
      </c>
      <c r="D89" s="96">
        <v>2.9999999999999997E-4</v>
      </c>
      <c r="E89" s="33">
        <f t="shared" si="16"/>
        <v>7869.9838337406063</v>
      </c>
      <c r="F89">
        <f t="shared" si="17"/>
        <v>7870</v>
      </c>
      <c r="G89">
        <f t="shared" si="14"/>
        <v>-1.23539999985951E-2</v>
      </c>
      <c r="K89">
        <f t="shared" si="15"/>
        <v>-1.23539999985951E-2</v>
      </c>
      <c r="O89">
        <f t="shared" ca="1" si="18"/>
        <v>-1.4968900813101111E-2</v>
      </c>
      <c r="Q89" s="2">
        <f t="shared" si="19"/>
        <v>43496.201300000001</v>
      </c>
    </row>
    <row r="90" spans="1:17">
      <c r="A90" s="68" t="s">
        <v>310</v>
      </c>
      <c r="B90" s="69" t="s">
        <v>36</v>
      </c>
      <c r="C90" s="70">
        <v>58527.690399999999</v>
      </c>
      <c r="D90" s="96">
        <v>5.0000000000000001E-4</v>
      </c>
      <c r="E90" s="33">
        <f t="shared" si="16"/>
        <v>7886.9811754809862</v>
      </c>
      <c r="F90">
        <f t="shared" si="17"/>
        <v>7887</v>
      </c>
      <c r="G90">
        <f t="shared" si="14"/>
        <v>-1.4385400005267002E-2</v>
      </c>
      <c r="K90">
        <f t="shared" si="15"/>
        <v>-1.4385400005267002E-2</v>
      </c>
      <c r="O90">
        <f t="shared" ca="1" si="18"/>
        <v>-1.5063771893169136E-2</v>
      </c>
      <c r="Q90" s="2">
        <f t="shared" si="19"/>
        <v>43509.190399999999</v>
      </c>
    </row>
    <row r="91" spans="1:17">
      <c r="A91" s="71" t="s">
        <v>311</v>
      </c>
      <c r="B91" s="72" t="s">
        <v>36</v>
      </c>
      <c r="C91" s="73">
        <v>58750.830300000001</v>
      </c>
      <c r="D91" s="93">
        <v>2.0000000000000001E-4</v>
      </c>
      <c r="E91" s="33">
        <f t="shared" si="16"/>
        <v>8178.9787069661988</v>
      </c>
      <c r="F91">
        <f t="shared" si="17"/>
        <v>8179</v>
      </c>
      <c r="G91">
        <f t="shared" si="14"/>
        <v>-1.6271799999231007E-2</v>
      </c>
      <c r="K91">
        <f t="shared" si="15"/>
        <v>-1.6271799999231007E-2</v>
      </c>
      <c r="O91">
        <f t="shared" ca="1" si="18"/>
        <v>-1.6693322209631694E-2</v>
      </c>
      <c r="Q91" s="2">
        <f t="shared" si="19"/>
        <v>43732.330300000001</v>
      </c>
    </row>
    <row r="92" spans="1:17" ht="12" customHeight="1">
      <c r="A92" s="71" t="s">
        <v>311</v>
      </c>
      <c r="B92" s="72" t="s">
        <v>36</v>
      </c>
      <c r="C92" s="73">
        <v>58854.758600000001</v>
      </c>
      <c r="D92" s="93">
        <v>4.0000000000000002E-4</v>
      </c>
      <c r="E92" s="33">
        <f t="shared" si="16"/>
        <v>8314.9777239571285</v>
      </c>
      <c r="F92">
        <f t="shared" si="17"/>
        <v>8315</v>
      </c>
      <c r="G92">
        <f t="shared" si="14"/>
        <v>-1.7023000000335742E-2</v>
      </c>
      <c r="K92">
        <f t="shared" si="15"/>
        <v>-1.7023000000335742E-2</v>
      </c>
      <c r="O92">
        <f t="shared" ca="1" si="18"/>
        <v>-1.7452290850175901E-2</v>
      </c>
      <c r="Q92" s="2">
        <f t="shared" si="19"/>
        <v>43836.258600000001</v>
      </c>
    </row>
    <row r="93" spans="1:17" ht="12" customHeight="1">
      <c r="A93" s="71" t="s">
        <v>312</v>
      </c>
      <c r="B93" s="72" t="s">
        <v>47</v>
      </c>
      <c r="C93" s="73">
        <v>58908.6348</v>
      </c>
      <c r="D93" s="93">
        <v>5.9999999999999995E-4</v>
      </c>
      <c r="E93" s="33">
        <f t="shared" si="16"/>
        <v>8385.4793124484877</v>
      </c>
      <c r="F93">
        <f t="shared" si="17"/>
        <v>8385.5</v>
      </c>
      <c r="G93">
        <f t="shared" si="14"/>
        <v>-1.5809100004844368E-2</v>
      </c>
      <c r="K93">
        <f t="shared" si="15"/>
        <v>-1.5809100004844368E-2</v>
      </c>
      <c r="O93">
        <f t="shared" ca="1" si="18"/>
        <v>-1.7845726799869777E-2</v>
      </c>
      <c r="Q93" s="2">
        <f t="shared" si="19"/>
        <v>43890.1348</v>
      </c>
    </row>
    <row r="94" spans="1:17" ht="12" customHeight="1">
      <c r="A94" s="74" t="s">
        <v>314</v>
      </c>
      <c r="B94" s="69" t="s">
        <v>47</v>
      </c>
      <c r="C94" s="70">
        <v>59157.755799999999</v>
      </c>
      <c r="D94" s="96">
        <v>5.9999999999999995E-4</v>
      </c>
      <c r="E94" s="33">
        <f t="shared" si="16"/>
        <v>8711.4753223110292</v>
      </c>
      <c r="F94">
        <f t="shared" si="17"/>
        <v>8711.5</v>
      </c>
      <c r="G94">
        <f t="shared" si="14"/>
        <v>-1.8858300005376805E-2</v>
      </c>
      <c r="K94">
        <f t="shared" si="15"/>
        <v>-1.8858300005376805E-2</v>
      </c>
      <c r="O94">
        <f t="shared" ca="1" si="18"/>
        <v>-1.9665019276468392E-2</v>
      </c>
      <c r="Q94" s="2">
        <f t="shared" si="19"/>
        <v>44139.255799999999</v>
      </c>
    </row>
    <row r="95" spans="1:17" ht="12" customHeight="1">
      <c r="A95" s="77" t="s">
        <v>317</v>
      </c>
      <c r="B95" s="76" t="s">
        <v>36</v>
      </c>
      <c r="C95" s="84">
        <v>59264.358620000072</v>
      </c>
      <c r="D95" s="78">
        <v>1.23E-3</v>
      </c>
      <c r="E95" s="33">
        <f t="shared" si="16"/>
        <v>8850.9741761215028</v>
      </c>
      <c r="F95">
        <f t="shared" si="17"/>
        <v>8851</v>
      </c>
      <c r="G95">
        <f t="shared" si="14"/>
        <v>-1.9734199930098839E-2</v>
      </c>
      <c r="K95">
        <f t="shared" si="15"/>
        <v>-1.9734199930098839E-2</v>
      </c>
      <c r="O95">
        <f t="shared" ca="1" si="18"/>
        <v>-2.0443520198203068E-2</v>
      </c>
      <c r="Q95" s="2">
        <f t="shared" si="19"/>
        <v>44245.858620000072</v>
      </c>
    </row>
    <row r="96" spans="1:17" ht="12" customHeight="1">
      <c r="A96" s="75" t="s">
        <v>315</v>
      </c>
      <c r="B96" s="76" t="s">
        <v>36</v>
      </c>
      <c r="C96" s="84">
        <v>59518.829100000003</v>
      </c>
      <c r="D96" s="97">
        <v>5.9999999999999995E-4</v>
      </c>
      <c r="E96" s="33">
        <f t="shared" si="16"/>
        <v>9183.9704354002606</v>
      </c>
      <c r="F96">
        <f t="shared" si="17"/>
        <v>9184</v>
      </c>
      <c r="G96">
        <f t="shared" si="14"/>
        <v>-2.2592799999983981E-2</v>
      </c>
      <c r="K96">
        <f t="shared" si="15"/>
        <v>-2.2592799999983981E-2</v>
      </c>
      <c r="O96">
        <f t="shared" ca="1" si="18"/>
        <v>-2.2301877237182636E-2</v>
      </c>
      <c r="Q96" s="2">
        <f t="shared" si="19"/>
        <v>44500.329100000003</v>
      </c>
    </row>
    <row r="97" spans="1:17" ht="12" customHeight="1">
      <c r="A97" s="75" t="s">
        <v>315</v>
      </c>
      <c r="B97" s="76" t="s">
        <v>47</v>
      </c>
      <c r="C97" s="84">
        <v>59526.850400000003</v>
      </c>
      <c r="D97" s="97">
        <v>5.0000000000000001E-4</v>
      </c>
      <c r="E97" s="33">
        <f t="shared" si="16"/>
        <v>9194.4669884564482</v>
      </c>
      <c r="F97">
        <f t="shared" si="17"/>
        <v>9194.5</v>
      </c>
      <c r="G97">
        <f t="shared" si="14"/>
        <v>-2.5226899997505825E-2</v>
      </c>
      <c r="K97">
        <f t="shared" si="15"/>
        <v>-2.5226899997505825E-2</v>
      </c>
      <c r="O97">
        <f t="shared" ca="1" si="18"/>
        <v>-2.2360474080754065E-2</v>
      </c>
      <c r="Q97" s="2">
        <f t="shared" si="19"/>
        <v>44508.350400000003</v>
      </c>
    </row>
    <row r="98" spans="1:17" ht="12" customHeight="1">
      <c r="A98" s="77" t="s">
        <v>316</v>
      </c>
      <c r="B98" s="76" t="s">
        <v>47</v>
      </c>
      <c r="C98" s="84">
        <v>59615.496340000071</v>
      </c>
      <c r="D98" s="78">
        <v>1.01E-3</v>
      </c>
      <c r="E98" s="33">
        <f t="shared" si="16"/>
        <v>9310.4677380140402</v>
      </c>
      <c r="F98">
        <f t="shared" si="17"/>
        <v>9310.5</v>
      </c>
      <c r="G98">
        <f t="shared" si="14"/>
        <v>-2.4654099928739015E-2</v>
      </c>
      <c r="K98">
        <f t="shared" si="15"/>
        <v>-2.4654099928739015E-2</v>
      </c>
      <c r="O98">
        <f t="shared" ca="1" si="18"/>
        <v>-2.300782968592412E-2</v>
      </c>
      <c r="Q98" s="2">
        <f t="shared" si="19"/>
        <v>44596.996340000071</v>
      </c>
    </row>
    <row r="99" spans="1:17" ht="12" customHeight="1">
      <c r="A99" s="79" t="s">
        <v>318</v>
      </c>
      <c r="B99" s="80" t="s">
        <v>36</v>
      </c>
      <c r="C99" s="84">
        <v>59914.671799999996</v>
      </c>
      <c r="D99" s="97">
        <v>5.0000000000000001E-4</v>
      </c>
      <c r="E99" s="33">
        <f t="shared" ref="E99" si="20">+(C99-C$7)/C$8</f>
        <v>9701.964264636712</v>
      </c>
      <c r="F99">
        <f t="shared" ref="F99" si="21">ROUND(2*E99,0)/2</f>
        <v>9702</v>
      </c>
      <c r="G99">
        <f t="shared" ref="G99" si="22">+C99-(C$7+F99*C$8)</f>
        <v>-2.7308400007314049E-2</v>
      </c>
      <c r="K99">
        <f t="shared" ref="K99" si="23">+G99</f>
        <v>-2.7308400007314049E-2</v>
      </c>
      <c r="O99">
        <f t="shared" ref="O99" ca="1" si="24">+C$11+C$12*$F99</f>
        <v>-2.5192654853373072E-2</v>
      </c>
      <c r="Q99" s="2">
        <f t="shared" ref="Q99" si="25">+C99-15018.5</f>
        <v>44896.171799999996</v>
      </c>
    </row>
    <row r="100" spans="1:17" ht="12" customHeight="1">
      <c r="A100" s="81" t="s">
        <v>319</v>
      </c>
      <c r="B100" s="82" t="s">
        <v>36</v>
      </c>
      <c r="C100" s="75">
        <v>60044.585500000001</v>
      </c>
      <c r="D100" s="97">
        <v>5.0000000000000001E-4</v>
      </c>
      <c r="E100" s="33">
        <f t="shared" ref="E100" si="26">+(C100-C$7)/C$8</f>
        <v>9871.9673869205872</v>
      </c>
      <c r="F100">
        <f t="shared" ref="F100" si="27">ROUND(2*E100,0)/2</f>
        <v>9872</v>
      </c>
      <c r="G100">
        <f t="shared" ref="G100" si="28">+C100-(C$7+F100*C$8)</f>
        <v>-2.4922399999923073E-2</v>
      </c>
      <c r="K100">
        <f t="shared" ref="K100" si="29">+G100</f>
        <v>-2.4922399999923073E-2</v>
      </c>
      <c r="O100">
        <f t="shared" ref="O100" ca="1" si="30">+C$11+C$12*$F100</f>
        <v>-2.6141365654053329E-2</v>
      </c>
      <c r="Q100" s="2">
        <f t="shared" ref="Q100" si="31">+C100-15018.5</f>
        <v>45026.085500000001</v>
      </c>
    </row>
    <row r="101" spans="1:17" ht="12" customHeight="1">
      <c r="C101" s="10"/>
      <c r="D101" s="85"/>
    </row>
    <row r="102" spans="1:17" ht="12" customHeight="1">
      <c r="C102" s="10"/>
      <c r="D102" s="85"/>
    </row>
    <row r="103" spans="1:17">
      <c r="C103" s="10"/>
      <c r="D103" s="85"/>
    </row>
    <row r="104" spans="1:17">
      <c r="C104" s="10"/>
      <c r="D104" s="85"/>
    </row>
    <row r="105" spans="1:17">
      <c r="C105" s="10"/>
      <c r="D105" s="85"/>
    </row>
    <row r="106" spans="1:17">
      <c r="C106" s="10"/>
      <c r="D106" s="85"/>
    </row>
    <row r="107" spans="1:17">
      <c r="C107" s="10"/>
      <c r="D107" s="85"/>
    </row>
    <row r="108" spans="1:17">
      <c r="C108" s="10"/>
      <c r="D108" s="85"/>
    </row>
    <row r="109" spans="1:17">
      <c r="C109" s="10"/>
      <c r="D109" s="85"/>
    </row>
    <row r="110" spans="1:17">
      <c r="C110" s="10"/>
      <c r="D110" s="85"/>
    </row>
    <row r="111" spans="1:17">
      <c r="C111" s="10"/>
      <c r="D111" s="85"/>
    </row>
    <row r="112" spans="1:17">
      <c r="C112" s="10"/>
      <c r="D112" s="85"/>
    </row>
    <row r="113" spans="3:4">
      <c r="C113" s="10"/>
      <c r="D113" s="85"/>
    </row>
    <row r="114" spans="3:4">
      <c r="C114" s="10"/>
      <c r="D114" s="85"/>
    </row>
    <row r="115" spans="3:4">
      <c r="C115" s="10"/>
      <c r="D115" s="85"/>
    </row>
    <row r="116" spans="3:4">
      <c r="C116" s="10"/>
      <c r="D116" s="85"/>
    </row>
    <row r="117" spans="3:4">
      <c r="C117" s="10"/>
      <c r="D117" s="85"/>
    </row>
    <row r="118" spans="3:4">
      <c r="C118" s="10"/>
      <c r="D118" s="85"/>
    </row>
    <row r="119" spans="3:4">
      <c r="C119" s="10"/>
      <c r="D119" s="85"/>
    </row>
    <row r="120" spans="3:4">
      <c r="C120" s="10"/>
      <c r="D120" s="85"/>
    </row>
    <row r="121" spans="3:4">
      <c r="C121" s="10"/>
      <c r="D121" s="85"/>
    </row>
    <row r="122" spans="3:4">
      <c r="C122" s="10"/>
      <c r="D122" s="85"/>
    </row>
    <row r="123" spans="3:4">
      <c r="C123" s="10"/>
      <c r="D123" s="85"/>
    </row>
    <row r="124" spans="3:4">
      <c r="C124" s="10"/>
      <c r="D124" s="85"/>
    </row>
    <row r="125" spans="3:4">
      <c r="C125" s="10"/>
      <c r="D125" s="85"/>
    </row>
    <row r="126" spans="3:4">
      <c r="C126" s="10"/>
      <c r="D126" s="85"/>
    </row>
    <row r="127" spans="3:4">
      <c r="C127" s="10"/>
      <c r="D127" s="85"/>
    </row>
    <row r="128" spans="3:4">
      <c r="C128" s="10"/>
      <c r="D128" s="85"/>
    </row>
    <row r="129" spans="3:4">
      <c r="C129" s="10"/>
      <c r="D129" s="85"/>
    </row>
    <row r="130" spans="3:4">
      <c r="C130" s="10"/>
      <c r="D130" s="85"/>
    </row>
    <row r="131" spans="3:4">
      <c r="C131" s="10"/>
      <c r="D131" s="85"/>
    </row>
    <row r="132" spans="3:4">
      <c r="C132" s="10"/>
      <c r="D132" s="85"/>
    </row>
    <row r="133" spans="3:4">
      <c r="C133" s="10"/>
      <c r="D133" s="85"/>
    </row>
    <row r="134" spans="3:4">
      <c r="C134" s="10"/>
      <c r="D134" s="85"/>
    </row>
    <row r="135" spans="3:4">
      <c r="C135" s="10"/>
      <c r="D135" s="85"/>
    </row>
    <row r="136" spans="3:4">
      <c r="C136" s="10"/>
      <c r="D136" s="85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</sheetData>
  <protectedRanges>
    <protectedRange sqref="A87:D92" name="Range1"/>
  </protectedRanges>
  <sortState xmlns:xlrd2="http://schemas.microsoft.com/office/spreadsheetml/2017/richdata2" ref="A21:V98">
    <sortCondition ref="C21:C98"/>
  </sortState>
  <phoneticPr fontId="8" type="noConversion"/>
  <hyperlinks>
    <hyperlink ref="H2736" r:id="rId1" display="http://vsolj.cetus-net.org/bulletin.html" xr:uid="{00000000-0004-0000-0000-000000000000}"/>
    <hyperlink ref="H64858" r:id="rId2" display="http://vsolj.cetus-net.org/bulletin.html" xr:uid="{00000000-0004-0000-0000-000001000000}"/>
    <hyperlink ref="H64851" r:id="rId3" display="https://www.aavso.org/ejaavso" xr:uid="{00000000-0004-0000-0000-000002000000}"/>
    <hyperlink ref="I64858" r:id="rId4" display="http://vsolj.cetus-net.org/bulletin.html" xr:uid="{00000000-0004-0000-0000-000003000000}"/>
    <hyperlink ref="AQ58509" r:id="rId5" display="http://cdsbib.u-strasbg.fr/cgi-bin/cdsbib?1990RMxAA..21..381G" xr:uid="{00000000-0004-0000-0000-000004000000}"/>
    <hyperlink ref="H64855" r:id="rId6" display="https://www.aavso.org/ejaavso" xr:uid="{00000000-0004-0000-0000-000005000000}"/>
    <hyperlink ref="AP5873" r:id="rId7" display="http://cdsbib.u-strasbg.fr/cgi-bin/cdsbib?1990RMxAA..21..381G" xr:uid="{00000000-0004-0000-0000-000006000000}"/>
    <hyperlink ref="AP5876" r:id="rId8" display="http://cdsbib.u-strasbg.fr/cgi-bin/cdsbib?1990RMxAA..21..381G" xr:uid="{00000000-0004-0000-0000-000007000000}"/>
    <hyperlink ref="AP5874" r:id="rId9" display="http://cdsbib.u-strasbg.fr/cgi-bin/cdsbib?1990RMxAA..21..381G" xr:uid="{00000000-0004-0000-0000-000008000000}"/>
    <hyperlink ref="AP5858" r:id="rId10" display="http://cdsbib.u-strasbg.fr/cgi-bin/cdsbib?1990RMxAA..21..381G" xr:uid="{00000000-0004-0000-0000-000009000000}"/>
    <hyperlink ref="AQ6087" r:id="rId11" display="http://cdsbib.u-strasbg.fr/cgi-bin/cdsbib?1990RMxAA..21..381G" xr:uid="{00000000-0004-0000-0000-00000A000000}"/>
    <hyperlink ref="AQ6091" r:id="rId12" display="http://cdsbib.u-strasbg.fr/cgi-bin/cdsbib?1990RMxAA..21..381G" xr:uid="{00000000-0004-0000-0000-00000B000000}"/>
    <hyperlink ref="AQ235" r:id="rId13" display="http://cdsbib.u-strasbg.fr/cgi-bin/cdsbib?1990RMxAA..21..381G" xr:uid="{00000000-0004-0000-0000-00000C000000}"/>
    <hyperlink ref="I2979" r:id="rId14" display="http://vsolj.cetus-net.org/bulletin.html" xr:uid="{00000000-0004-0000-0000-00000D000000}"/>
    <hyperlink ref="H2979" r:id="rId15" display="http://vsolj.cetus-net.org/bulletin.html" xr:uid="{00000000-0004-0000-0000-00000E000000}"/>
    <hyperlink ref="AQ896" r:id="rId16" display="http://cdsbib.u-strasbg.fr/cgi-bin/cdsbib?1990RMxAA..21..381G" xr:uid="{00000000-0004-0000-0000-00000F000000}"/>
    <hyperlink ref="AQ895" r:id="rId17" display="http://cdsbib.u-strasbg.fr/cgi-bin/cdsbib?1990RMxAA..21..381G" xr:uid="{00000000-0004-0000-0000-000010000000}"/>
    <hyperlink ref="AP4149" r:id="rId18" display="http://cdsbib.u-strasbg.fr/cgi-bin/cdsbib?1990RMxAA..21..381G" xr:uid="{00000000-0004-0000-0000-000011000000}"/>
    <hyperlink ref="AP4167" r:id="rId19" display="http://cdsbib.u-strasbg.fr/cgi-bin/cdsbib?1990RMxAA..21..381G" xr:uid="{00000000-0004-0000-0000-000012000000}"/>
    <hyperlink ref="AP4168" r:id="rId20" display="http://cdsbib.u-strasbg.fr/cgi-bin/cdsbib?1990RMxAA..21..381G" xr:uid="{00000000-0004-0000-0000-000013000000}"/>
    <hyperlink ref="AP4164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3"/>
  <sheetViews>
    <sheetView topLeftCell="A38" workbookViewId="0">
      <selection activeCell="A47" sqref="A47:D61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41" t="s">
        <v>69</v>
      </c>
      <c r="I1" s="42" t="s">
        <v>70</v>
      </c>
      <c r="J1" s="43" t="s">
        <v>71</v>
      </c>
    </row>
    <row r="2" spans="1:16">
      <c r="I2" s="44" t="s">
        <v>72</v>
      </c>
      <c r="J2" s="45" t="s">
        <v>73</v>
      </c>
    </row>
    <row r="3" spans="1:16">
      <c r="A3" s="46" t="s">
        <v>74</v>
      </c>
      <c r="I3" s="44" t="s">
        <v>75</v>
      </c>
      <c r="J3" s="45" t="s">
        <v>76</v>
      </c>
    </row>
    <row r="4" spans="1:16">
      <c r="I4" s="44" t="s">
        <v>77</v>
      </c>
      <c r="J4" s="45" t="s">
        <v>76</v>
      </c>
    </row>
    <row r="5" spans="1:16" ht="13.5" thickBot="1">
      <c r="I5" s="47" t="s">
        <v>78</v>
      </c>
      <c r="J5" s="48" t="s">
        <v>79</v>
      </c>
    </row>
    <row r="10" spans="1:16" ht="13.5" thickBot="1"/>
    <row r="11" spans="1:16" ht="12.75" customHeight="1" thickBot="1">
      <c r="A11" s="10" t="str">
        <f t="shared" ref="A11:A42" si="0">P11</f>
        <v> BBS 129 </v>
      </c>
      <c r="B11" s="3" t="str">
        <f t="shared" ref="B11:B42" si="1">IF(H11=INT(H11),"I","II")</f>
        <v>II</v>
      </c>
      <c r="C11" s="10">
        <f t="shared" ref="C11:C42" si="2">1*G11</f>
        <v>52658.425000000003</v>
      </c>
      <c r="D11" s="12" t="str">
        <f t="shared" ref="D11:D42" si="3">VLOOKUP(F11,I$1:J$5,2,FALSE)</f>
        <v>vis</v>
      </c>
      <c r="E11" s="49">
        <f>VLOOKUP(C11,Active!C$21:E$969,3,FALSE)</f>
        <v>206.54836883568171</v>
      </c>
      <c r="F11" s="3" t="s">
        <v>78</v>
      </c>
      <c r="G11" s="12" t="str">
        <f t="shared" ref="G11:G42" si="4">MID(I11,3,LEN(I11)-3)</f>
        <v>52658.425</v>
      </c>
      <c r="H11" s="10">
        <f t="shared" ref="H11:H42" si="5">1*K11</f>
        <v>-2987.5</v>
      </c>
      <c r="I11" s="50" t="s">
        <v>80</v>
      </c>
      <c r="J11" s="51" t="s">
        <v>81</v>
      </c>
      <c r="K11" s="50">
        <v>-2987.5</v>
      </c>
      <c r="L11" s="50" t="s">
        <v>82</v>
      </c>
      <c r="M11" s="51" t="s">
        <v>83</v>
      </c>
      <c r="N11" s="51" t="s">
        <v>84</v>
      </c>
      <c r="O11" s="52" t="s">
        <v>85</v>
      </c>
      <c r="P11" s="52" t="s">
        <v>86</v>
      </c>
    </row>
    <row r="12" spans="1:16" ht="12.75" customHeight="1" thickBot="1">
      <c r="A12" s="10" t="str">
        <f t="shared" si="0"/>
        <v>IBVS 5653 </v>
      </c>
      <c r="B12" s="3" t="str">
        <f t="shared" si="1"/>
        <v>I</v>
      </c>
      <c r="C12" s="10">
        <f t="shared" si="2"/>
        <v>53409.349000000002</v>
      </c>
      <c r="D12" s="12" t="str">
        <f t="shared" si="3"/>
        <v>vis</v>
      </c>
      <c r="E12" s="49">
        <f>VLOOKUP(C12,Active!C$21:E$969,3,FALSE)</f>
        <v>1189.1962696951853</v>
      </c>
      <c r="F12" s="3" t="s">
        <v>78</v>
      </c>
      <c r="G12" s="12" t="str">
        <f t="shared" si="4"/>
        <v>53409.349</v>
      </c>
      <c r="H12" s="10">
        <f t="shared" si="5"/>
        <v>-2005</v>
      </c>
      <c r="I12" s="50" t="s">
        <v>110</v>
      </c>
      <c r="J12" s="51" t="s">
        <v>111</v>
      </c>
      <c r="K12" s="50">
        <v>-2005</v>
      </c>
      <c r="L12" s="50" t="s">
        <v>112</v>
      </c>
      <c r="M12" s="51" t="s">
        <v>83</v>
      </c>
      <c r="N12" s="51" t="s">
        <v>84</v>
      </c>
      <c r="O12" s="52" t="s">
        <v>113</v>
      </c>
      <c r="P12" s="53" t="s">
        <v>114</v>
      </c>
    </row>
    <row r="13" spans="1:16" ht="12.75" customHeight="1" thickBot="1">
      <c r="A13" s="10" t="str">
        <f t="shared" si="0"/>
        <v>BAVM 183 </v>
      </c>
      <c r="B13" s="3" t="str">
        <f t="shared" si="1"/>
        <v>I</v>
      </c>
      <c r="C13" s="10">
        <f t="shared" si="2"/>
        <v>54091.616900000001</v>
      </c>
      <c r="D13" s="12" t="str">
        <f t="shared" si="3"/>
        <v>vis</v>
      </c>
      <c r="E13" s="49">
        <f>VLOOKUP(C13,Active!C$21:E$969,3,FALSE)</f>
        <v>2082.001826261258</v>
      </c>
      <c r="F13" s="3" t="s">
        <v>78</v>
      </c>
      <c r="G13" s="12" t="str">
        <f t="shared" si="4"/>
        <v>54091.6169</v>
      </c>
      <c r="H13" s="10">
        <f t="shared" si="5"/>
        <v>-1112</v>
      </c>
      <c r="I13" s="50" t="s">
        <v>129</v>
      </c>
      <c r="J13" s="51" t="s">
        <v>130</v>
      </c>
      <c r="K13" s="50">
        <v>-1112</v>
      </c>
      <c r="L13" s="50" t="s">
        <v>131</v>
      </c>
      <c r="M13" s="51" t="s">
        <v>90</v>
      </c>
      <c r="N13" s="51" t="s">
        <v>132</v>
      </c>
      <c r="O13" s="52" t="s">
        <v>133</v>
      </c>
      <c r="P13" s="53" t="s">
        <v>134</v>
      </c>
    </row>
    <row r="14" spans="1:16" ht="12.75" customHeight="1" thickBot="1">
      <c r="A14" s="10" t="str">
        <f t="shared" si="0"/>
        <v> BBS 133 (=IBVS 5781) </v>
      </c>
      <c r="B14" s="3" t="str">
        <f t="shared" si="1"/>
        <v>I</v>
      </c>
      <c r="C14" s="10">
        <f t="shared" si="2"/>
        <v>54173.3819</v>
      </c>
      <c r="D14" s="12" t="str">
        <f t="shared" si="3"/>
        <v>vis</v>
      </c>
      <c r="E14" s="49">
        <f>VLOOKUP(C14,Active!C$21:E$969,3,FALSE)</f>
        <v>2188.998280780992</v>
      </c>
      <c r="F14" s="3" t="s">
        <v>78</v>
      </c>
      <c r="G14" s="12" t="str">
        <f t="shared" si="4"/>
        <v>54173.3819</v>
      </c>
      <c r="H14" s="10">
        <f t="shared" si="5"/>
        <v>-1005</v>
      </c>
      <c r="I14" s="50" t="s">
        <v>140</v>
      </c>
      <c r="J14" s="51" t="s">
        <v>141</v>
      </c>
      <c r="K14" s="50" t="s">
        <v>142</v>
      </c>
      <c r="L14" s="50" t="s">
        <v>143</v>
      </c>
      <c r="M14" s="51" t="s">
        <v>90</v>
      </c>
      <c r="N14" s="51" t="s">
        <v>78</v>
      </c>
      <c r="O14" s="52" t="s">
        <v>85</v>
      </c>
      <c r="P14" s="52" t="s">
        <v>144</v>
      </c>
    </row>
    <row r="15" spans="1:16" ht="12.75" customHeight="1" thickBot="1">
      <c r="A15" s="10" t="str">
        <f t="shared" si="0"/>
        <v>IBVS 5898 </v>
      </c>
      <c r="B15" s="3" t="str">
        <f t="shared" si="1"/>
        <v>I</v>
      </c>
      <c r="C15" s="10">
        <f t="shared" si="2"/>
        <v>54189.430800000002</v>
      </c>
      <c r="D15" s="12" t="str">
        <f t="shared" si="3"/>
        <v>vis</v>
      </c>
      <c r="E15" s="49">
        <f>VLOOKUP(C15,Active!C$21:E$969,3,FALSE)</f>
        <v>2209.9996309790222</v>
      </c>
      <c r="F15" s="3" t="s">
        <v>78</v>
      </c>
      <c r="G15" s="12" t="str">
        <f t="shared" si="4"/>
        <v>54189.4308</v>
      </c>
      <c r="H15" s="10">
        <f t="shared" si="5"/>
        <v>-984</v>
      </c>
      <c r="I15" s="50" t="s">
        <v>149</v>
      </c>
      <c r="J15" s="51" t="s">
        <v>150</v>
      </c>
      <c r="K15" s="50" t="s">
        <v>151</v>
      </c>
      <c r="L15" s="50" t="s">
        <v>152</v>
      </c>
      <c r="M15" s="51" t="s">
        <v>90</v>
      </c>
      <c r="N15" s="51" t="s">
        <v>78</v>
      </c>
      <c r="O15" s="52" t="s">
        <v>153</v>
      </c>
      <c r="P15" s="53" t="s">
        <v>154</v>
      </c>
    </row>
    <row r="16" spans="1:16" ht="12.75" customHeight="1" thickBot="1">
      <c r="A16" s="10" t="str">
        <f t="shared" si="0"/>
        <v>IBVS 5898 </v>
      </c>
      <c r="B16" s="3" t="str">
        <f t="shared" si="1"/>
        <v>II</v>
      </c>
      <c r="C16" s="10">
        <f t="shared" si="2"/>
        <v>54190.580199999997</v>
      </c>
      <c r="D16" s="12" t="str">
        <f t="shared" si="3"/>
        <v>vis</v>
      </c>
      <c r="E16" s="49">
        <f>VLOOKUP(C16,Active!C$21:E$969,3,FALSE)</f>
        <v>2211.5037186060563</v>
      </c>
      <c r="F16" s="3" t="s">
        <v>78</v>
      </c>
      <c r="G16" s="12" t="str">
        <f t="shared" si="4"/>
        <v>54190.5802</v>
      </c>
      <c r="H16" s="10">
        <f t="shared" si="5"/>
        <v>-982.5</v>
      </c>
      <c r="I16" s="50" t="s">
        <v>155</v>
      </c>
      <c r="J16" s="51" t="s">
        <v>156</v>
      </c>
      <c r="K16" s="50" t="s">
        <v>157</v>
      </c>
      <c r="L16" s="50" t="s">
        <v>158</v>
      </c>
      <c r="M16" s="51" t="s">
        <v>90</v>
      </c>
      <c r="N16" s="51" t="s">
        <v>78</v>
      </c>
      <c r="O16" s="52" t="s">
        <v>153</v>
      </c>
      <c r="P16" s="53" t="s">
        <v>154</v>
      </c>
    </row>
    <row r="17" spans="1:16" ht="12.75" customHeight="1" thickBot="1">
      <c r="A17" s="10" t="str">
        <f t="shared" si="0"/>
        <v>JAAVSO 36(2);171 </v>
      </c>
      <c r="B17" s="3" t="str">
        <f t="shared" si="1"/>
        <v>I</v>
      </c>
      <c r="C17" s="10">
        <f t="shared" si="2"/>
        <v>54402.635000000002</v>
      </c>
      <c r="D17" s="12" t="str">
        <f t="shared" si="3"/>
        <v>vis</v>
      </c>
      <c r="E17" s="49">
        <f>VLOOKUP(C17,Active!C$21:E$969,3,FALSE)</f>
        <v>2488.9954542373416</v>
      </c>
      <c r="F17" s="3" t="s">
        <v>78</v>
      </c>
      <c r="G17" s="12" t="str">
        <f t="shared" si="4"/>
        <v>54402.6350</v>
      </c>
      <c r="H17" s="10">
        <f t="shared" si="5"/>
        <v>-705</v>
      </c>
      <c r="I17" s="50" t="s">
        <v>163</v>
      </c>
      <c r="J17" s="51" t="s">
        <v>164</v>
      </c>
      <c r="K17" s="50" t="s">
        <v>165</v>
      </c>
      <c r="L17" s="50" t="s">
        <v>166</v>
      </c>
      <c r="M17" s="51" t="s">
        <v>90</v>
      </c>
      <c r="N17" s="51" t="s">
        <v>91</v>
      </c>
      <c r="O17" s="52" t="s">
        <v>100</v>
      </c>
      <c r="P17" s="53" t="s">
        <v>167</v>
      </c>
    </row>
    <row r="18" spans="1:16" ht="12.75" customHeight="1" thickBot="1">
      <c r="A18" s="10" t="str">
        <f t="shared" si="0"/>
        <v>JAAVSO 36(2);171 </v>
      </c>
      <c r="B18" s="3" t="str">
        <f t="shared" si="1"/>
        <v>II</v>
      </c>
      <c r="C18" s="10">
        <f t="shared" si="2"/>
        <v>54403.785499999998</v>
      </c>
      <c r="D18" s="12" t="str">
        <f t="shared" si="3"/>
        <v>vis</v>
      </c>
      <c r="E18" s="49">
        <f>VLOOKUP(C18,Active!C$21:E$969,3,FALSE)</f>
        <v>2490.5009813079041</v>
      </c>
      <c r="F18" s="3" t="s">
        <v>78</v>
      </c>
      <c r="G18" s="12" t="str">
        <f t="shared" si="4"/>
        <v>54403.7855</v>
      </c>
      <c r="H18" s="10">
        <f t="shared" si="5"/>
        <v>-703.5</v>
      </c>
      <c r="I18" s="50" t="s">
        <v>168</v>
      </c>
      <c r="J18" s="51" t="s">
        <v>169</v>
      </c>
      <c r="K18" s="50" t="s">
        <v>170</v>
      </c>
      <c r="L18" s="50" t="s">
        <v>171</v>
      </c>
      <c r="M18" s="51" t="s">
        <v>90</v>
      </c>
      <c r="N18" s="51" t="s">
        <v>91</v>
      </c>
      <c r="O18" s="52" t="s">
        <v>100</v>
      </c>
      <c r="P18" s="53" t="s">
        <v>167</v>
      </c>
    </row>
    <row r="19" spans="1:16" ht="12.75" customHeight="1" thickBot="1">
      <c r="A19" s="10" t="str">
        <f t="shared" si="0"/>
        <v>JAAVSO 36(2);186 </v>
      </c>
      <c r="B19" s="3" t="str">
        <f t="shared" si="1"/>
        <v>I</v>
      </c>
      <c r="C19" s="10">
        <f t="shared" si="2"/>
        <v>54554.715100000001</v>
      </c>
      <c r="D19" s="12" t="str">
        <f t="shared" si="3"/>
        <v>vis</v>
      </c>
      <c r="E19" s="49">
        <f>VLOOKUP(C19,Active!C$21:E$969,3,FALSE)</f>
        <v>2688.0051956059792</v>
      </c>
      <c r="F19" s="3" t="s">
        <v>78</v>
      </c>
      <c r="G19" s="12" t="str">
        <f t="shared" si="4"/>
        <v>54554.7151</v>
      </c>
      <c r="H19" s="10">
        <f t="shared" si="5"/>
        <v>-506</v>
      </c>
      <c r="I19" s="50" t="s">
        <v>172</v>
      </c>
      <c r="J19" s="51" t="s">
        <v>173</v>
      </c>
      <c r="K19" s="50" t="s">
        <v>174</v>
      </c>
      <c r="L19" s="50" t="s">
        <v>119</v>
      </c>
      <c r="M19" s="51" t="s">
        <v>90</v>
      </c>
      <c r="N19" s="51" t="s">
        <v>175</v>
      </c>
      <c r="O19" s="52" t="s">
        <v>139</v>
      </c>
      <c r="P19" s="53" t="s">
        <v>176</v>
      </c>
    </row>
    <row r="20" spans="1:16" ht="12.75" customHeight="1" thickBot="1">
      <c r="A20" s="10" t="str">
        <f t="shared" si="0"/>
        <v>JAAVSO 36(2);186 </v>
      </c>
      <c r="B20" s="3" t="str">
        <f t="shared" si="1"/>
        <v>II</v>
      </c>
      <c r="C20" s="10">
        <f t="shared" si="2"/>
        <v>54559.680899999999</v>
      </c>
      <c r="D20" s="12" t="str">
        <f t="shared" si="3"/>
        <v>vis</v>
      </c>
      <c r="E20" s="49">
        <f>VLOOKUP(C20,Active!C$21:E$969,3,FALSE)</f>
        <v>2694.5033671201222</v>
      </c>
      <c r="F20" s="3" t="s">
        <v>78</v>
      </c>
      <c r="G20" s="12" t="str">
        <f t="shared" si="4"/>
        <v>54559.6809</v>
      </c>
      <c r="H20" s="10">
        <f t="shared" si="5"/>
        <v>-499.5</v>
      </c>
      <c r="I20" s="50" t="s">
        <v>177</v>
      </c>
      <c r="J20" s="51" t="s">
        <v>178</v>
      </c>
      <c r="K20" s="50" t="s">
        <v>179</v>
      </c>
      <c r="L20" s="50" t="s">
        <v>180</v>
      </c>
      <c r="M20" s="51" t="s">
        <v>90</v>
      </c>
      <c r="N20" s="51" t="s">
        <v>175</v>
      </c>
      <c r="O20" s="52" t="s">
        <v>139</v>
      </c>
      <c r="P20" s="53" t="s">
        <v>176</v>
      </c>
    </row>
    <row r="21" spans="1:16" ht="12.75" customHeight="1" thickBot="1">
      <c r="A21" s="10" t="str">
        <f t="shared" si="0"/>
        <v>JAAVSO 37(1);44 </v>
      </c>
      <c r="B21" s="3" t="str">
        <f t="shared" si="1"/>
        <v>I</v>
      </c>
      <c r="C21" s="10">
        <f t="shared" si="2"/>
        <v>54771.747600000002</v>
      </c>
      <c r="D21" s="12" t="str">
        <f t="shared" si="3"/>
        <v>vis</v>
      </c>
      <c r="E21" s="49">
        <f>VLOOKUP(C21,Active!C$21:E$969,3,FALSE)</f>
        <v>2972.0106749131951</v>
      </c>
      <c r="F21" s="3" t="s">
        <v>78</v>
      </c>
      <c r="G21" s="12" t="str">
        <f t="shared" si="4"/>
        <v>54771.7476</v>
      </c>
      <c r="H21" s="10">
        <f t="shared" si="5"/>
        <v>-222</v>
      </c>
      <c r="I21" s="50" t="s">
        <v>181</v>
      </c>
      <c r="J21" s="51" t="s">
        <v>182</v>
      </c>
      <c r="K21" s="50" t="s">
        <v>183</v>
      </c>
      <c r="L21" s="50" t="s">
        <v>184</v>
      </c>
      <c r="M21" s="51" t="s">
        <v>90</v>
      </c>
      <c r="N21" s="51" t="s">
        <v>91</v>
      </c>
      <c r="O21" s="52" t="s">
        <v>100</v>
      </c>
      <c r="P21" s="53" t="s">
        <v>185</v>
      </c>
    </row>
    <row r="22" spans="1:16" ht="12.75" customHeight="1" thickBot="1">
      <c r="A22" s="10" t="str">
        <f t="shared" si="0"/>
        <v>BAVM 209 </v>
      </c>
      <c r="B22" s="3" t="str">
        <f t="shared" si="1"/>
        <v>I</v>
      </c>
      <c r="C22" s="10">
        <f t="shared" si="2"/>
        <v>54844.340300000003</v>
      </c>
      <c r="D22" s="12" t="str">
        <f t="shared" si="3"/>
        <v>vis</v>
      </c>
      <c r="E22" s="49">
        <f>VLOOKUP(C22,Active!C$21:E$969,3,FALSE)</f>
        <v>3067.0043950136642</v>
      </c>
      <c r="F22" s="3" t="s">
        <v>78</v>
      </c>
      <c r="G22" s="12" t="str">
        <f t="shared" si="4"/>
        <v>54844.3403</v>
      </c>
      <c r="H22" s="10">
        <f t="shared" si="5"/>
        <v>-127</v>
      </c>
      <c r="I22" s="50" t="s">
        <v>186</v>
      </c>
      <c r="J22" s="51" t="s">
        <v>187</v>
      </c>
      <c r="K22" s="50" t="s">
        <v>188</v>
      </c>
      <c r="L22" s="50" t="s">
        <v>189</v>
      </c>
      <c r="M22" s="51" t="s">
        <v>90</v>
      </c>
      <c r="N22" s="51" t="s">
        <v>132</v>
      </c>
      <c r="O22" s="52" t="s">
        <v>133</v>
      </c>
      <c r="P22" s="53" t="s">
        <v>190</v>
      </c>
    </row>
    <row r="23" spans="1:16" ht="12.75" customHeight="1" thickBot="1">
      <c r="A23" s="10" t="str">
        <f t="shared" si="0"/>
        <v>IBVS 5938 </v>
      </c>
      <c r="B23" s="3" t="str">
        <f t="shared" si="1"/>
        <v>II</v>
      </c>
      <c r="C23" s="10">
        <f t="shared" si="2"/>
        <v>54883.692799999997</v>
      </c>
      <c r="D23" s="12" t="str">
        <f t="shared" si="3"/>
        <v>vis</v>
      </c>
      <c r="E23" s="49">
        <f>VLOOKUP(C23,Active!C$21:E$969,3,FALSE)</f>
        <v>3118.5004871861975</v>
      </c>
      <c r="F23" s="3" t="s">
        <v>78</v>
      </c>
      <c r="G23" s="12" t="str">
        <f t="shared" si="4"/>
        <v>54883.6928</v>
      </c>
      <c r="H23" s="10">
        <f t="shared" si="5"/>
        <v>-75.5</v>
      </c>
      <c r="I23" s="50" t="s">
        <v>191</v>
      </c>
      <c r="J23" s="51" t="s">
        <v>192</v>
      </c>
      <c r="K23" s="50" t="s">
        <v>193</v>
      </c>
      <c r="L23" s="50" t="s">
        <v>194</v>
      </c>
      <c r="M23" s="51" t="s">
        <v>90</v>
      </c>
      <c r="N23" s="51" t="s">
        <v>78</v>
      </c>
      <c r="O23" s="52" t="s">
        <v>195</v>
      </c>
      <c r="P23" s="53" t="s">
        <v>196</v>
      </c>
    </row>
    <row r="24" spans="1:16" ht="12.75" customHeight="1" thickBot="1">
      <c r="A24" s="10" t="str">
        <f t="shared" si="0"/>
        <v>IBVS 5898 </v>
      </c>
      <c r="B24" s="3" t="str">
        <f t="shared" si="1"/>
        <v>I</v>
      </c>
      <c r="C24" s="10">
        <f t="shared" si="2"/>
        <v>54892.483899999999</v>
      </c>
      <c r="D24" s="12" t="str">
        <f t="shared" si="3"/>
        <v>vis</v>
      </c>
      <c r="E24" s="49">
        <f>VLOOKUP(C24,Active!C$21:E$969,3,FALSE)</f>
        <v>3130.0043889941676</v>
      </c>
      <c r="F24" s="3" t="s">
        <v>78</v>
      </c>
      <c r="G24" s="12" t="str">
        <f t="shared" si="4"/>
        <v>54892.4839</v>
      </c>
      <c r="H24" s="10">
        <f t="shared" si="5"/>
        <v>-64</v>
      </c>
      <c r="I24" s="50" t="s">
        <v>197</v>
      </c>
      <c r="J24" s="51" t="s">
        <v>198</v>
      </c>
      <c r="K24" s="50" t="s">
        <v>199</v>
      </c>
      <c r="L24" s="50" t="s">
        <v>122</v>
      </c>
      <c r="M24" s="51" t="s">
        <v>90</v>
      </c>
      <c r="N24" s="51" t="s">
        <v>78</v>
      </c>
      <c r="O24" s="52" t="s">
        <v>153</v>
      </c>
      <c r="P24" s="53" t="s">
        <v>154</v>
      </c>
    </row>
    <row r="25" spans="1:16" ht="12.75" customHeight="1" thickBot="1">
      <c r="A25" s="10" t="str">
        <f t="shared" si="0"/>
        <v>IBVS 5938 </v>
      </c>
      <c r="B25" s="3" t="str">
        <f t="shared" si="1"/>
        <v>II</v>
      </c>
      <c r="C25" s="10">
        <f t="shared" si="2"/>
        <v>54896.6875</v>
      </c>
      <c r="D25" s="12" t="str">
        <f t="shared" si="3"/>
        <v>vis</v>
      </c>
      <c r="E25" s="49">
        <f>VLOOKUP(C25,Active!C$21:E$969,3,FALSE)</f>
        <v>3135.5051570027194</v>
      </c>
      <c r="F25" s="3" t="s">
        <v>78</v>
      </c>
      <c r="G25" s="12" t="str">
        <f t="shared" si="4"/>
        <v>54896.6875</v>
      </c>
      <c r="H25" s="10">
        <f t="shared" si="5"/>
        <v>-58.5</v>
      </c>
      <c r="I25" s="50" t="s">
        <v>200</v>
      </c>
      <c r="J25" s="51" t="s">
        <v>201</v>
      </c>
      <c r="K25" s="50" t="s">
        <v>202</v>
      </c>
      <c r="L25" s="50" t="s">
        <v>203</v>
      </c>
      <c r="M25" s="51" t="s">
        <v>90</v>
      </c>
      <c r="N25" s="51" t="s">
        <v>78</v>
      </c>
      <c r="O25" s="52" t="s">
        <v>195</v>
      </c>
      <c r="P25" s="53" t="s">
        <v>196</v>
      </c>
    </row>
    <row r="26" spans="1:16" ht="12.75" customHeight="1" thickBot="1">
      <c r="A26" s="10" t="str">
        <f t="shared" si="0"/>
        <v> JAAVSO 38;85 </v>
      </c>
      <c r="B26" s="3" t="str">
        <f t="shared" si="1"/>
        <v>I</v>
      </c>
      <c r="C26" s="10">
        <f t="shared" si="2"/>
        <v>54933.744899999998</v>
      </c>
      <c r="D26" s="12" t="str">
        <f t="shared" si="3"/>
        <v>vis</v>
      </c>
      <c r="E26" s="49">
        <f>VLOOKUP(C26,Active!C$21:E$969,3,FALSE)</f>
        <v>3183.9979156857671</v>
      </c>
      <c r="F26" s="3" t="s">
        <v>78</v>
      </c>
      <c r="G26" s="12" t="str">
        <f t="shared" si="4"/>
        <v>54933.7449</v>
      </c>
      <c r="H26" s="10">
        <f t="shared" si="5"/>
        <v>-10</v>
      </c>
      <c r="I26" s="50" t="s">
        <v>204</v>
      </c>
      <c r="J26" s="51" t="s">
        <v>205</v>
      </c>
      <c r="K26" s="50" t="s">
        <v>206</v>
      </c>
      <c r="L26" s="50" t="s">
        <v>207</v>
      </c>
      <c r="M26" s="51" t="s">
        <v>90</v>
      </c>
      <c r="N26" s="51" t="s">
        <v>91</v>
      </c>
      <c r="O26" s="52" t="s">
        <v>100</v>
      </c>
      <c r="P26" s="52" t="s">
        <v>208</v>
      </c>
    </row>
    <row r="27" spans="1:16" ht="12.75" customHeight="1" thickBot="1">
      <c r="A27" s="10" t="str">
        <f t="shared" si="0"/>
        <v>IBVS 5898 </v>
      </c>
      <c r="B27" s="3" t="str">
        <f t="shared" si="1"/>
        <v>I</v>
      </c>
      <c r="C27" s="10">
        <f t="shared" si="2"/>
        <v>54941.3923</v>
      </c>
      <c r="D27" s="12" t="str">
        <f t="shared" si="3"/>
        <v>vis</v>
      </c>
      <c r="E27" s="49">
        <f>VLOOKUP(C27,Active!C$21:E$969,3,FALSE)</f>
        <v>3194.005188801335</v>
      </c>
      <c r="F27" s="3" t="s">
        <v>78</v>
      </c>
      <c r="G27" s="12" t="str">
        <f t="shared" si="4"/>
        <v>54941.3923</v>
      </c>
      <c r="H27" s="10">
        <f t="shared" si="5"/>
        <v>0</v>
      </c>
      <c r="I27" s="50" t="s">
        <v>209</v>
      </c>
      <c r="J27" s="51" t="s">
        <v>210</v>
      </c>
      <c r="K27" s="50" t="s">
        <v>211</v>
      </c>
      <c r="L27" s="50" t="s">
        <v>203</v>
      </c>
      <c r="M27" s="51" t="s">
        <v>90</v>
      </c>
      <c r="N27" s="51" t="s">
        <v>78</v>
      </c>
      <c r="O27" s="52" t="s">
        <v>153</v>
      </c>
      <c r="P27" s="53" t="s">
        <v>154</v>
      </c>
    </row>
    <row r="28" spans="1:16" ht="12.75" customHeight="1" thickBot="1">
      <c r="A28" s="10" t="str">
        <f t="shared" si="0"/>
        <v> JAAVSO 38;120 </v>
      </c>
      <c r="B28" s="3" t="str">
        <f t="shared" si="1"/>
        <v>I</v>
      </c>
      <c r="C28" s="10">
        <f t="shared" si="2"/>
        <v>55105.687700000002</v>
      </c>
      <c r="D28" s="12" t="str">
        <f t="shared" si="3"/>
        <v>vis</v>
      </c>
      <c r="E28" s="49">
        <f>VLOOKUP(C28,Active!C$21:E$969,3,FALSE)</f>
        <v>3408.999688818481</v>
      </c>
      <c r="F28" s="3" t="s">
        <v>78</v>
      </c>
      <c r="G28" s="12" t="str">
        <f t="shared" si="4"/>
        <v>55105.6877</v>
      </c>
      <c r="H28" s="10">
        <f t="shared" si="5"/>
        <v>215</v>
      </c>
      <c r="I28" s="50" t="s">
        <v>212</v>
      </c>
      <c r="J28" s="51" t="s">
        <v>213</v>
      </c>
      <c r="K28" s="50" t="s">
        <v>214</v>
      </c>
      <c r="L28" s="50" t="s">
        <v>143</v>
      </c>
      <c r="M28" s="51" t="s">
        <v>90</v>
      </c>
      <c r="N28" s="51" t="s">
        <v>91</v>
      </c>
      <c r="O28" s="52" t="s">
        <v>100</v>
      </c>
      <c r="P28" s="52" t="s">
        <v>215</v>
      </c>
    </row>
    <row r="29" spans="1:16" ht="12.75" customHeight="1" thickBot="1">
      <c r="A29" s="10" t="str">
        <f t="shared" si="0"/>
        <v>IBVS 5929 </v>
      </c>
      <c r="B29" s="3" t="str">
        <f t="shared" si="1"/>
        <v>I</v>
      </c>
      <c r="C29" s="10">
        <f t="shared" si="2"/>
        <v>55166.824999999997</v>
      </c>
      <c r="D29" s="12" t="str">
        <f t="shared" si="3"/>
        <v>vis</v>
      </c>
      <c r="E29" s="49">
        <f>VLOOKUP(C29,Active!C$21:E$969,3,FALSE)</f>
        <v>3489.0030440304768</v>
      </c>
      <c r="F29" s="3" t="s">
        <v>78</v>
      </c>
      <c r="G29" s="12" t="str">
        <f t="shared" si="4"/>
        <v>55166.825</v>
      </c>
      <c r="H29" s="10">
        <f t="shared" si="5"/>
        <v>295</v>
      </c>
      <c r="I29" s="50" t="s">
        <v>216</v>
      </c>
      <c r="J29" s="51" t="s">
        <v>217</v>
      </c>
      <c r="K29" s="50" t="s">
        <v>218</v>
      </c>
      <c r="L29" s="50" t="s">
        <v>219</v>
      </c>
      <c r="M29" s="51" t="s">
        <v>90</v>
      </c>
      <c r="N29" s="51" t="s">
        <v>70</v>
      </c>
      <c r="O29" s="52" t="s">
        <v>220</v>
      </c>
      <c r="P29" s="53" t="s">
        <v>221</v>
      </c>
    </row>
    <row r="30" spans="1:16" ht="12.75" customHeight="1" thickBot="1">
      <c r="A30" s="10" t="str">
        <f t="shared" si="0"/>
        <v>IBVS 5980 </v>
      </c>
      <c r="B30" s="3" t="str">
        <f t="shared" si="1"/>
        <v>II</v>
      </c>
      <c r="C30" s="10">
        <f t="shared" si="2"/>
        <v>55211.530100000004</v>
      </c>
      <c r="D30" s="12" t="str">
        <f t="shared" si="3"/>
        <v>vis</v>
      </c>
      <c r="E30" s="49">
        <f>VLOOKUP(C30,Active!C$21:E$969,3,FALSE)</f>
        <v>3547.5034684046086</v>
      </c>
      <c r="F30" s="3" t="s">
        <v>78</v>
      </c>
      <c r="G30" s="12" t="str">
        <f t="shared" si="4"/>
        <v>55211.5301</v>
      </c>
      <c r="H30" s="10">
        <f t="shared" si="5"/>
        <v>353.5</v>
      </c>
      <c r="I30" s="50" t="s">
        <v>222</v>
      </c>
      <c r="J30" s="51" t="s">
        <v>223</v>
      </c>
      <c r="K30" s="50" t="s">
        <v>224</v>
      </c>
      <c r="L30" s="50" t="s">
        <v>131</v>
      </c>
      <c r="M30" s="51" t="s">
        <v>90</v>
      </c>
      <c r="N30" s="51" t="s">
        <v>78</v>
      </c>
      <c r="O30" s="52" t="s">
        <v>153</v>
      </c>
      <c r="P30" s="53" t="s">
        <v>225</v>
      </c>
    </row>
    <row r="31" spans="1:16" ht="12.75" customHeight="1" thickBot="1">
      <c r="A31" s="10" t="str">
        <f t="shared" si="0"/>
        <v> JAAVSO 38;120 </v>
      </c>
      <c r="B31" s="3" t="str">
        <f t="shared" si="1"/>
        <v>II</v>
      </c>
      <c r="C31" s="10">
        <f t="shared" si="2"/>
        <v>55246.684000000001</v>
      </c>
      <c r="D31" s="12" t="str">
        <f t="shared" si="3"/>
        <v>vis</v>
      </c>
      <c r="E31" s="49">
        <f>VLOOKUP(C31,Active!C$21:E$969,3,FALSE)</f>
        <v>3593.5053354937181</v>
      </c>
      <c r="F31" s="3" t="s">
        <v>78</v>
      </c>
      <c r="G31" s="12" t="str">
        <f t="shared" si="4"/>
        <v>55246.6840</v>
      </c>
      <c r="H31" s="10">
        <f t="shared" si="5"/>
        <v>399.5</v>
      </c>
      <c r="I31" s="50" t="s">
        <v>226</v>
      </c>
      <c r="J31" s="51" t="s">
        <v>227</v>
      </c>
      <c r="K31" s="50" t="s">
        <v>228</v>
      </c>
      <c r="L31" s="50" t="s">
        <v>158</v>
      </c>
      <c r="M31" s="51" t="s">
        <v>90</v>
      </c>
      <c r="N31" s="51" t="s">
        <v>91</v>
      </c>
      <c r="O31" s="52" t="s">
        <v>100</v>
      </c>
      <c r="P31" s="52" t="s">
        <v>215</v>
      </c>
    </row>
    <row r="32" spans="1:16" ht="12.75" customHeight="1" thickBot="1">
      <c r="A32" s="10" t="str">
        <f t="shared" si="0"/>
        <v>IBVS 5980 </v>
      </c>
      <c r="B32" s="3" t="str">
        <f t="shared" si="1"/>
        <v>II</v>
      </c>
      <c r="C32" s="10">
        <f t="shared" si="2"/>
        <v>55263.4925</v>
      </c>
      <c r="D32" s="12" t="str">
        <f t="shared" si="3"/>
        <v>vis</v>
      </c>
      <c r="E32" s="49">
        <f>VLOOKUP(C32,Active!C$21:E$969,3,FALSE)</f>
        <v>3615.5006868762766</v>
      </c>
      <c r="F32" s="3" t="s">
        <v>78</v>
      </c>
      <c r="G32" s="12" t="str">
        <f t="shared" si="4"/>
        <v>55263.4925</v>
      </c>
      <c r="H32" s="10">
        <f t="shared" si="5"/>
        <v>421.5</v>
      </c>
      <c r="I32" s="50" t="s">
        <v>229</v>
      </c>
      <c r="J32" s="51" t="s">
        <v>230</v>
      </c>
      <c r="K32" s="50" t="s">
        <v>231</v>
      </c>
      <c r="L32" s="50" t="s">
        <v>232</v>
      </c>
      <c r="M32" s="51" t="s">
        <v>90</v>
      </c>
      <c r="N32" s="51" t="s">
        <v>78</v>
      </c>
      <c r="O32" s="52" t="s">
        <v>153</v>
      </c>
      <c r="P32" s="53" t="s">
        <v>225</v>
      </c>
    </row>
    <row r="33" spans="1:16" ht="12.75" customHeight="1" thickBot="1">
      <c r="A33" s="10" t="str">
        <f t="shared" si="0"/>
        <v>BAVM 214 </v>
      </c>
      <c r="B33" s="3" t="str">
        <f t="shared" si="1"/>
        <v>II</v>
      </c>
      <c r="C33" s="10">
        <f t="shared" si="2"/>
        <v>55263.496899999998</v>
      </c>
      <c r="D33" s="12" t="str">
        <f t="shared" si="3"/>
        <v>vis</v>
      </c>
      <c r="E33" s="49">
        <f>VLOOKUP(C33,Active!C$21:E$969,3,FALSE)</f>
        <v>3615.5064446503811</v>
      </c>
      <c r="F33" s="3" t="s">
        <v>78</v>
      </c>
      <c r="G33" s="12" t="str">
        <f t="shared" si="4"/>
        <v>55263.4969</v>
      </c>
      <c r="H33" s="10">
        <f t="shared" si="5"/>
        <v>421.5</v>
      </c>
      <c r="I33" s="50" t="s">
        <v>233</v>
      </c>
      <c r="J33" s="51" t="s">
        <v>234</v>
      </c>
      <c r="K33" s="50" t="s">
        <v>231</v>
      </c>
      <c r="L33" s="50" t="s">
        <v>235</v>
      </c>
      <c r="M33" s="51" t="s">
        <v>90</v>
      </c>
      <c r="N33" s="51" t="s">
        <v>132</v>
      </c>
      <c r="O33" s="52" t="s">
        <v>133</v>
      </c>
      <c r="P33" s="53" t="s">
        <v>236</v>
      </c>
    </row>
    <row r="34" spans="1:16" ht="12.75" customHeight="1" thickBot="1">
      <c r="A34" s="10" t="str">
        <f t="shared" si="0"/>
        <v>IBVS 5980 </v>
      </c>
      <c r="B34" s="3" t="str">
        <f t="shared" si="1"/>
        <v>I</v>
      </c>
      <c r="C34" s="10">
        <f t="shared" si="2"/>
        <v>55265.402699999999</v>
      </c>
      <c r="D34" s="12" t="str">
        <f t="shared" si="3"/>
        <v>vis</v>
      </c>
      <c r="E34" s="49">
        <f>VLOOKUP(C34,Active!C$21:E$969,3,FALSE)</f>
        <v>3618.0003459898753</v>
      </c>
      <c r="F34" s="3" t="s">
        <v>78</v>
      </c>
      <c r="G34" s="12" t="str">
        <f t="shared" si="4"/>
        <v>55265.4027</v>
      </c>
      <c r="H34" s="10">
        <f t="shared" si="5"/>
        <v>424</v>
      </c>
      <c r="I34" s="50" t="s">
        <v>237</v>
      </c>
      <c r="J34" s="51" t="s">
        <v>238</v>
      </c>
      <c r="K34" s="50" t="s">
        <v>239</v>
      </c>
      <c r="L34" s="50" t="s">
        <v>240</v>
      </c>
      <c r="M34" s="51" t="s">
        <v>90</v>
      </c>
      <c r="N34" s="51" t="s">
        <v>78</v>
      </c>
      <c r="O34" s="52" t="s">
        <v>153</v>
      </c>
      <c r="P34" s="53" t="s">
        <v>225</v>
      </c>
    </row>
    <row r="35" spans="1:16" ht="12.75" customHeight="1" thickBot="1">
      <c r="A35" s="10" t="str">
        <f t="shared" si="0"/>
        <v>IBVS 6039 </v>
      </c>
      <c r="B35" s="3" t="str">
        <f t="shared" si="1"/>
        <v>I</v>
      </c>
      <c r="C35" s="10">
        <f t="shared" si="2"/>
        <v>55372.393499999998</v>
      </c>
      <c r="D35" s="12" t="str">
        <f t="shared" si="3"/>
        <v>vis</v>
      </c>
      <c r="E35" s="49">
        <f>VLOOKUP(C35,Active!C$21:E$969,3,FALSE)</f>
        <v>3758.0069046180174</v>
      </c>
      <c r="F35" s="3" t="s">
        <v>78</v>
      </c>
      <c r="G35" s="12" t="str">
        <f t="shared" si="4"/>
        <v>55372.3935</v>
      </c>
      <c r="H35" s="10">
        <f t="shared" si="5"/>
        <v>564</v>
      </c>
      <c r="I35" s="50" t="s">
        <v>241</v>
      </c>
      <c r="J35" s="51" t="s">
        <v>242</v>
      </c>
      <c r="K35" s="50" t="s">
        <v>243</v>
      </c>
      <c r="L35" s="50" t="s">
        <v>244</v>
      </c>
      <c r="M35" s="51" t="s">
        <v>90</v>
      </c>
      <c r="N35" s="51" t="s">
        <v>245</v>
      </c>
      <c r="O35" s="52" t="s">
        <v>246</v>
      </c>
      <c r="P35" s="53" t="s">
        <v>247</v>
      </c>
    </row>
    <row r="36" spans="1:16" ht="12.75" customHeight="1" thickBot="1">
      <c r="A36" s="10" t="str">
        <f t="shared" si="0"/>
        <v>IBVS 5980 </v>
      </c>
      <c r="B36" s="3" t="str">
        <f t="shared" si="1"/>
        <v>I</v>
      </c>
      <c r="C36" s="10">
        <f t="shared" si="2"/>
        <v>55501.535300000003</v>
      </c>
      <c r="D36" s="12" t="str">
        <f t="shared" si="3"/>
        <v>vis</v>
      </c>
      <c r="E36" s="49">
        <f>VLOOKUP(C36,Active!C$21:E$969,3,FALSE)</f>
        <v>3926.9999301215607</v>
      </c>
      <c r="F36" s="3" t="s">
        <v>78</v>
      </c>
      <c r="G36" s="12" t="str">
        <f t="shared" si="4"/>
        <v>55501.5353</v>
      </c>
      <c r="H36" s="10">
        <f t="shared" si="5"/>
        <v>733</v>
      </c>
      <c r="I36" s="50" t="s">
        <v>248</v>
      </c>
      <c r="J36" s="51" t="s">
        <v>249</v>
      </c>
      <c r="K36" s="50" t="s">
        <v>250</v>
      </c>
      <c r="L36" s="50" t="s">
        <v>138</v>
      </c>
      <c r="M36" s="51" t="s">
        <v>90</v>
      </c>
      <c r="N36" s="51" t="s">
        <v>251</v>
      </c>
      <c r="O36" s="52" t="s">
        <v>153</v>
      </c>
      <c r="P36" s="53" t="s">
        <v>225</v>
      </c>
    </row>
    <row r="37" spans="1:16" ht="12.75" customHeight="1" thickBot="1">
      <c r="A37" s="10" t="str">
        <f t="shared" si="0"/>
        <v> JAAVSO 39;177 </v>
      </c>
      <c r="B37" s="3" t="str">
        <f t="shared" si="1"/>
        <v>II</v>
      </c>
      <c r="C37" s="10">
        <f t="shared" si="2"/>
        <v>55544.709000000003</v>
      </c>
      <c r="D37" s="12" t="str">
        <f t="shared" si="3"/>
        <v>vis</v>
      </c>
      <c r="E37" s="49">
        <f>VLOOKUP(C37,Active!C$21:E$969,3,FALSE)</f>
        <v>3983.4963873893234</v>
      </c>
      <c r="F37" s="3" t="s">
        <v>78</v>
      </c>
      <c r="G37" s="12" t="str">
        <f t="shared" si="4"/>
        <v>55544.7090</v>
      </c>
      <c r="H37" s="10">
        <f t="shared" si="5"/>
        <v>789.5</v>
      </c>
      <c r="I37" s="50" t="s">
        <v>252</v>
      </c>
      <c r="J37" s="51" t="s">
        <v>253</v>
      </c>
      <c r="K37" s="50" t="s">
        <v>254</v>
      </c>
      <c r="L37" s="50" t="s">
        <v>255</v>
      </c>
      <c r="M37" s="51" t="s">
        <v>90</v>
      </c>
      <c r="N37" s="51" t="s">
        <v>78</v>
      </c>
      <c r="O37" s="52" t="s">
        <v>123</v>
      </c>
      <c r="P37" s="52" t="s">
        <v>256</v>
      </c>
    </row>
    <row r="38" spans="1:16" ht="12.75" customHeight="1" thickBot="1">
      <c r="A38" s="10" t="str">
        <f t="shared" si="0"/>
        <v>BAVM 220 </v>
      </c>
      <c r="B38" s="3" t="str">
        <f t="shared" si="1"/>
        <v>I</v>
      </c>
      <c r="C38" s="10">
        <f t="shared" si="2"/>
        <v>55644.437299999998</v>
      </c>
      <c r="D38" s="12" t="str">
        <f t="shared" si="3"/>
        <v>vis</v>
      </c>
      <c r="E38" s="49">
        <f>VLOOKUP(C38,Active!C$21:E$969,3,FALSE)</f>
        <v>4113.9993472777833</v>
      </c>
      <c r="F38" s="3" t="s">
        <v>78</v>
      </c>
      <c r="G38" s="12" t="str">
        <f t="shared" si="4"/>
        <v>55644.4373</v>
      </c>
      <c r="H38" s="10">
        <f t="shared" si="5"/>
        <v>920</v>
      </c>
      <c r="I38" s="50" t="s">
        <v>257</v>
      </c>
      <c r="J38" s="51" t="s">
        <v>258</v>
      </c>
      <c r="K38" s="50" t="s">
        <v>259</v>
      </c>
      <c r="L38" s="50" t="s">
        <v>260</v>
      </c>
      <c r="M38" s="51" t="s">
        <v>90</v>
      </c>
      <c r="N38" s="51" t="s">
        <v>132</v>
      </c>
      <c r="O38" s="52" t="s">
        <v>133</v>
      </c>
      <c r="P38" s="53" t="s">
        <v>261</v>
      </c>
    </row>
    <row r="39" spans="1:16" ht="12.75" customHeight="1" thickBot="1">
      <c r="A39" s="10" t="str">
        <f t="shared" si="0"/>
        <v> JAAVSO 40;975 </v>
      </c>
      <c r="B39" s="3" t="str">
        <f t="shared" si="1"/>
        <v>I</v>
      </c>
      <c r="C39" s="10">
        <f t="shared" si="2"/>
        <v>55905.787400000001</v>
      </c>
      <c r="D39" s="12" t="str">
        <f t="shared" si="3"/>
        <v>vis</v>
      </c>
      <c r="E39" s="49">
        <f>VLOOKUP(C39,Active!C$21:E$969,3,FALSE)</f>
        <v>4455.9981742621721</v>
      </c>
      <c r="F39" s="3" t="s">
        <v>78</v>
      </c>
      <c r="G39" s="12" t="str">
        <f t="shared" si="4"/>
        <v>55905.7874</v>
      </c>
      <c r="H39" s="10">
        <f t="shared" si="5"/>
        <v>1262</v>
      </c>
      <c r="I39" s="50" t="s">
        <v>267</v>
      </c>
      <c r="J39" s="51" t="s">
        <v>268</v>
      </c>
      <c r="K39" s="50" t="s">
        <v>269</v>
      </c>
      <c r="L39" s="50" t="s">
        <v>270</v>
      </c>
      <c r="M39" s="51" t="s">
        <v>90</v>
      </c>
      <c r="N39" s="51" t="s">
        <v>78</v>
      </c>
      <c r="O39" s="52" t="s">
        <v>100</v>
      </c>
      <c r="P39" s="52" t="s">
        <v>271</v>
      </c>
    </row>
    <row r="40" spans="1:16" ht="12.75" customHeight="1" thickBot="1">
      <c r="A40" s="10" t="str">
        <f t="shared" si="0"/>
        <v> JAAVSO 41;122 </v>
      </c>
      <c r="B40" s="3" t="str">
        <f t="shared" si="1"/>
        <v>I</v>
      </c>
      <c r="C40" s="10">
        <f t="shared" si="2"/>
        <v>55928.715400000001</v>
      </c>
      <c r="D40" s="12" t="str">
        <f t="shared" si="3"/>
        <v>vis</v>
      </c>
      <c r="E40" s="49">
        <f>VLOOKUP(C40,Active!C$21:E$969,3,FALSE)</f>
        <v>4486.0014117015226</v>
      </c>
      <c r="F40" s="3" t="s">
        <v>78</v>
      </c>
      <c r="G40" s="12" t="str">
        <f t="shared" si="4"/>
        <v>55928.7154</v>
      </c>
      <c r="H40" s="10">
        <f t="shared" si="5"/>
        <v>1292</v>
      </c>
      <c r="I40" s="50" t="s">
        <v>272</v>
      </c>
      <c r="J40" s="51" t="s">
        <v>273</v>
      </c>
      <c r="K40" s="50" t="s">
        <v>274</v>
      </c>
      <c r="L40" s="50" t="s">
        <v>109</v>
      </c>
      <c r="M40" s="51" t="s">
        <v>90</v>
      </c>
      <c r="N40" s="51" t="s">
        <v>78</v>
      </c>
      <c r="O40" s="52" t="s">
        <v>123</v>
      </c>
      <c r="P40" s="52" t="s">
        <v>275</v>
      </c>
    </row>
    <row r="41" spans="1:16" ht="12.75" customHeight="1" thickBot="1">
      <c r="A41" s="10" t="str">
        <f t="shared" si="0"/>
        <v>IBVS 6050 </v>
      </c>
      <c r="B41" s="3" t="str">
        <f t="shared" si="1"/>
        <v>II</v>
      </c>
      <c r="C41" s="10">
        <f t="shared" si="2"/>
        <v>55939.794000000002</v>
      </c>
      <c r="D41" s="12" t="str">
        <f t="shared" si="3"/>
        <v>vis</v>
      </c>
      <c r="E41" s="49">
        <f>VLOOKUP(C41,Active!C$21:E$969,3,FALSE)</f>
        <v>4500.4987017527965</v>
      </c>
      <c r="F41" s="3" t="s">
        <v>78</v>
      </c>
      <c r="G41" s="12" t="str">
        <f t="shared" si="4"/>
        <v>55939.7940</v>
      </c>
      <c r="H41" s="10">
        <f t="shared" si="5"/>
        <v>1306.5</v>
      </c>
      <c r="I41" s="50" t="s">
        <v>276</v>
      </c>
      <c r="J41" s="51" t="s">
        <v>277</v>
      </c>
      <c r="K41" s="50" t="s">
        <v>278</v>
      </c>
      <c r="L41" s="50" t="s">
        <v>279</v>
      </c>
      <c r="M41" s="51" t="s">
        <v>90</v>
      </c>
      <c r="N41" s="51" t="s">
        <v>70</v>
      </c>
      <c r="O41" s="52" t="s">
        <v>220</v>
      </c>
      <c r="P41" s="53" t="s">
        <v>280</v>
      </c>
    </row>
    <row r="42" spans="1:16" ht="12.75" customHeight="1" thickBot="1">
      <c r="A42" s="10" t="str">
        <f t="shared" si="0"/>
        <v> JAAVSO 41;122 </v>
      </c>
      <c r="B42" s="3" t="str">
        <f t="shared" si="1"/>
        <v>II</v>
      </c>
      <c r="C42" s="10">
        <f t="shared" si="2"/>
        <v>56195.795400000003</v>
      </c>
      <c r="D42" s="12" t="str">
        <f t="shared" si="3"/>
        <v>vis</v>
      </c>
      <c r="E42" s="49">
        <f>VLOOKUP(C42,Active!C$21:E$969,3,FALSE)</f>
        <v>4835.4983000171951</v>
      </c>
      <c r="F42" s="3" t="s">
        <v>78</v>
      </c>
      <c r="G42" s="12" t="str">
        <f t="shared" si="4"/>
        <v>56195.7954</v>
      </c>
      <c r="H42" s="10">
        <f t="shared" si="5"/>
        <v>1641.5</v>
      </c>
      <c r="I42" s="50" t="s">
        <v>281</v>
      </c>
      <c r="J42" s="51" t="s">
        <v>282</v>
      </c>
      <c r="K42" s="50" t="s">
        <v>283</v>
      </c>
      <c r="L42" s="50" t="s">
        <v>284</v>
      </c>
      <c r="M42" s="51" t="s">
        <v>90</v>
      </c>
      <c r="N42" s="51" t="s">
        <v>78</v>
      </c>
      <c r="O42" s="52" t="s">
        <v>100</v>
      </c>
      <c r="P42" s="52" t="s">
        <v>275</v>
      </c>
    </row>
    <row r="43" spans="1:16" ht="12.75" customHeight="1" thickBot="1">
      <c r="A43" s="10" t="str">
        <f t="shared" ref="A43:A61" si="6">P43</f>
        <v> JAAVSO 42;426 </v>
      </c>
      <c r="B43" s="3" t="str">
        <f t="shared" ref="B43:B61" si="7">IF(H43=INT(H43),"I","II")</f>
        <v>II</v>
      </c>
      <c r="C43" s="10">
        <f t="shared" ref="C43:C61" si="8">1*G43</f>
        <v>56603.867299999998</v>
      </c>
      <c r="D43" s="12" t="str">
        <f t="shared" ref="D43:D61" si="9">VLOOKUP(F43,I$1:J$5,2,FALSE)</f>
        <v>vis</v>
      </c>
      <c r="E43" s="49">
        <f>VLOOKUP(C43,Active!C$21:E$969,3,FALSE)</f>
        <v>5369.4950772339907</v>
      </c>
      <c r="F43" s="3" t="s">
        <v>78</v>
      </c>
      <c r="G43" s="12" t="str">
        <f t="shared" ref="G43:G61" si="10">MID(I43,3,LEN(I43)-3)</f>
        <v>56603.8673</v>
      </c>
      <c r="H43" s="10">
        <f t="shared" ref="H43:H61" si="11">1*K43</f>
        <v>2175.5</v>
      </c>
      <c r="I43" s="50" t="s">
        <v>285</v>
      </c>
      <c r="J43" s="51" t="s">
        <v>286</v>
      </c>
      <c r="K43" s="50" t="s">
        <v>287</v>
      </c>
      <c r="L43" s="50" t="s">
        <v>288</v>
      </c>
      <c r="M43" s="51" t="s">
        <v>90</v>
      </c>
      <c r="N43" s="51" t="s">
        <v>78</v>
      </c>
      <c r="O43" s="52" t="s">
        <v>100</v>
      </c>
      <c r="P43" s="52" t="s">
        <v>289</v>
      </c>
    </row>
    <row r="44" spans="1:16" ht="12.75" customHeight="1" thickBot="1">
      <c r="A44" s="10" t="str">
        <f t="shared" si="6"/>
        <v>BAVM 234 </v>
      </c>
      <c r="B44" s="3" t="str">
        <f t="shared" si="7"/>
        <v>II</v>
      </c>
      <c r="C44" s="10">
        <f t="shared" si="8"/>
        <v>56654.304600000003</v>
      </c>
      <c r="D44" s="12" t="str">
        <f t="shared" si="9"/>
        <v>vis</v>
      </c>
      <c r="E44" s="49">
        <f>VLOOKUP(C44,Active!C$21:E$969,3,FALSE)</f>
        <v>5435.4965726849632</v>
      </c>
      <c r="F44" s="3" t="s">
        <v>78</v>
      </c>
      <c r="G44" s="12" t="str">
        <f t="shared" si="10"/>
        <v>56654.3046</v>
      </c>
      <c r="H44" s="10">
        <f t="shared" si="11"/>
        <v>2241.5</v>
      </c>
      <c r="I44" s="50" t="s">
        <v>290</v>
      </c>
      <c r="J44" s="51" t="s">
        <v>291</v>
      </c>
      <c r="K44" s="50" t="s">
        <v>292</v>
      </c>
      <c r="L44" s="50" t="s">
        <v>293</v>
      </c>
      <c r="M44" s="51" t="s">
        <v>90</v>
      </c>
      <c r="N44" s="51" t="s">
        <v>132</v>
      </c>
      <c r="O44" s="52" t="s">
        <v>133</v>
      </c>
      <c r="P44" s="53" t="s">
        <v>294</v>
      </c>
    </row>
    <row r="45" spans="1:16" ht="12.75" customHeight="1" thickBot="1">
      <c r="A45" s="10" t="str">
        <f t="shared" si="6"/>
        <v>BAVM 234 </v>
      </c>
      <c r="B45" s="3" t="str">
        <f t="shared" si="7"/>
        <v>I</v>
      </c>
      <c r="C45" s="10">
        <f t="shared" si="8"/>
        <v>56654.688499999997</v>
      </c>
      <c r="D45" s="12" t="str">
        <f t="shared" si="9"/>
        <v>vis</v>
      </c>
      <c r="E45" s="49">
        <f>VLOOKUP(C45,Active!C$21:E$969,3,FALSE)</f>
        <v>5435.9989384758201</v>
      </c>
      <c r="F45" s="3" t="s">
        <v>78</v>
      </c>
      <c r="G45" s="12" t="str">
        <f t="shared" si="10"/>
        <v>56654.6885</v>
      </c>
      <c r="H45" s="10">
        <f t="shared" si="11"/>
        <v>2242</v>
      </c>
      <c r="I45" s="50" t="s">
        <v>295</v>
      </c>
      <c r="J45" s="51" t="s">
        <v>296</v>
      </c>
      <c r="K45" s="50" t="s">
        <v>297</v>
      </c>
      <c r="L45" s="50" t="s">
        <v>166</v>
      </c>
      <c r="M45" s="51" t="s">
        <v>90</v>
      </c>
      <c r="N45" s="51" t="s">
        <v>132</v>
      </c>
      <c r="O45" s="52" t="s">
        <v>133</v>
      </c>
      <c r="P45" s="53" t="s">
        <v>294</v>
      </c>
    </row>
    <row r="46" spans="1:16" ht="12.75" customHeight="1" thickBot="1">
      <c r="A46" s="10" t="str">
        <f t="shared" si="6"/>
        <v> JAAVSO 42;426 </v>
      </c>
      <c r="B46" s="3" t="str">
        <f t="shared" si="7"/>
        <v>II</v>
      </c>
      <c r="C46" s="10">
        <f t="shared" si="8"/>
        <v>56924.824000000001</v>
      </c>
      <c r="D46" s="12" t="str">
        <f t="shared" si="9"/>
        <v>vis</v>
      </c>
      <c r="E46" s="49">
        <f>VLOOKUP(C46,Active!C$21:E$969,3,FALSE)</f>
        <v>5789.4942083335382</v>
      </c>
      <c r="F46" s="3" t="s">
        <v>78</v>
      </c>
      <c r="G46" s="12" t="str">
        <f t="shared" si="10"/>
        <v>56924.8240</v>
      </c>
      <c r="H46" s="10">
        <f t="shared" si="11"/>
        <v>2595.5</v>
      </c>
      <c r="I46" s="50" t="s">
        <v>298</v>
      </c>
      <c r="J46" s="51" t="s">
        <v>299</v>
      </c>
      <c r="K46" s="50" t="s">
        <v>300</v>
      </c>
      <c r="L46" s="50" t="s">
        <v>301</v>
      </c>
      <c r="M46" s="51" t="s">
        <v>90</v>
      </c>
      <c r="N46" s="51" t="s">
        <v>78</v>
      </c>
      <c r="O46" s="52" t="s">
        <v>100</v>
      </c>
      <c r="P46" s="52" t="s">
        <v>289</v>
      </c>
    </row>
    <row r="47" spans="1:16" ht="12.75" customHeight="1" thickBot="1">
      <c r="A47" s="10" t="str">
        <f t="shared" si="6"/>
        <v> AOEB 12 </v>
      </c>
      <c r="B47" s="3" t="str">
        <f t="shared" si="7"/>
        <v>I</v>
      </c>
      <c r="C47" s="10">
        <f t="shared" si="8"/>
        <v>52762.698299999996</v>
      </c>
      <c r="D47" s="12" t="str">
        <f t="shared" si="9"/>
        <v>vis</v>
      </c>
      <c r="E47" s="49">
        <f>VLOOKUP(C47,Active!C$21:E$969,3,FALSE)</f>
        <v>342.99884766001946</v>
      </c>
      <c r="F47" s="3" t="s">
        <v>78</v>
      </c>
      <c r="G47" s="12" t="str">
        <f t="shared" si="10"/>
        <v>52762.6983</v>
      </c>
      <c r="H47" s="10">
        <f t="shared" si="11"/>
        <v>-2851</v>
      </c>
      <c r="I47" s="50" t="s">
        <v>87</v>
      </c>
      <c r="J47" s="51" t="s">
        <v>88</v>
      </c>
      <c r="K47" s="50">
        <v>-2851</v>
      </c>
      <c r="L47" s="50" t="s">
        <v>89</v>
      </c>
      <c r="M47" s="51" t="s">
        <v>90</v>
      </c>
      <c r="N47" s="51" t="s">
        <v>91</v>
      </c>
      <c r="O47" s="52" t="s">
        <v>92</v>
      </c>
      <c r="P47" s="52" t="s">
        <v>93</v>
      </c>
    </row>
    <row r="48" spans="1:16" ht="12.75" customHeight="1" thickBot="1">
      <c r="A48" s="10" t="str">
        <f t="shared" si="6"/>
        <v> AOEB 12 </v>
      </c>
      <c r="B48" s="3" t="str">
        <f t="shared" si="7"/>
        <v>I</v>
      </c>
      <c r="C48" s="10">
        <f t="shared" si="8"/>
        <v>52791.739600000001</v>
      </c>
      <c r="D48" s="12" t="str">
        <f t="shared" si="9"/>
        <v>vis</v>
      </c>
      <c r="E48" s="49">
        <f>VLOOKUP(C48,Active!C$21:E$969,3,FALSE)</f>
        <v>381.00185792901533</v>
      </c>
      <c r="F48" s="3" t="s">
        <v>78</v>
      </c>
      <c r="G48" s="12" t="str">
        <f t="shared" si="10"/>
        <v>52791.7396</v>
      </c>
      <c r="H48" s="10">
        <f t="shared" si="11"/>
        <v>-2813</v>
      </c>
      <c r="I48" s="50" t="s">
        <v>94</v>
      </c>
      <c r="J48" s="51" t="s">
        <v>95</v>
      </c>
      <c r="K48" s="50">
        <v>-2813</v>
      </c>
      <c r="L48" s="50" t="s">
        <v>96</v>
      </c>
      <c r="M48" s="51" t="s">
        <v>90</v>
      </c>
      <c r="N48" s="51" t="s">
        <v>91</v>
      </c>
      <c r="O48" s="52" t="s">
        <v>92</v>
      </c>
      <c r="P48" s="52" t="s">
        <v>93</v>
      </c>
    </row>
    <row r="49" spans="1:16" ht="12.75" customHeight="1" thickBot="1">
      <c r="A49" s="10" t="str">
        <f t="shared" si="6"/>
        <v> AOEB 12 </v>
      </c>
      <c r="B49" s="3" t="str">
        <f t="shared" si="7"/>
        <v>I</v>
      </c>
      <c r="C49" s="10">
        <f t="shared" si="8"/>
        <v>52979.727700000003</v>
      </c>
      <c r="D49" s="12" t="str">
        <f t="shared" si="9"/>
        <v>vis</v>
      </c>
      <c r="E49" s="49">
        <f>VLOOKUP(C49,Active!C$21:E$969,3,FALSE)</f>
        <v>627.00027035366679</v>
      </c>
      <c r="F49" s="3" t="s">
        <v>78</v>
      </c>
      <c r="G49" s="12" t="str">
        <f t="shared" si="10"/>
        <v>52979.7277</v>
      </c>
      <c r="H49" s="10">
        <f t="shared" si="11"/>
        <v>-2567</v>
      </c>
      <c r="I49" s="50" t="s">
        <v>97</v>
      </c>
      <c r="J49" s="51" t="s">
        <v>98</v>
      </c>
      <c r="K49" s="50">
        <v>-2567</v>
      </c>
      <c r="L49" s="50" t="s">
        <v>99</v>
      </c>
      <c r="M49" s="51" t="s">
        <v>90</v>
      </c>
      <c r="N49" s="51" t="s">
        <v>91</v>
      </c>
      <c r="O49" s="52" t="s">
        <v>100</v>
      </c>
      <c r="P49" s="52" t="s">
        <v>93</v>
      </c>
    </row>
    <row r="50" spans="1:16" ht="12.75" customHeight="1" thickBot="1">
      <c r="A50" s="10" t="str">
        <f t="shared" si="6"/>
        <v> AOEB 12 </v>
      </c>
      <c r="B50" s="3" t="str">
        <f t="shared" si="7"/>
        <v>I</v>
      </c>
      <c r="C50" s="10">
        <f t="shared" si="8"/>
        <v>52986.604299999999</v>
      </c>
      <c r="D50" s="12" t="str">
        <f t="shared" si="9"/>
        <v>vis</v>
      </c>
      <c r="E50" s="49">
        <f>VLOOKUP(C50,Active!C$21:E$969,3,FALSE)</f>
        <v>635.99888613242263</v>
      </c>
      <c r="F50" s="3" t="s">
        <v>78</v>
      </c>
      <c r="G50" s="12" t="str">
        <f t="shared" si="10"/>
        <v>52986.6043</v>
      </c>
      <c r="H50" s="10">
        <f t="shared" si="11"/>
        <v>-2558</v>
      </c>
      <c r="I50" s="50" t="s">
        <v>101</v>
      </c>
      <c r="J50" s="51" t="s">
        <v>102</v>
      </c>
      <c r="K50" s="50">
        <v>-2558</v>
      </c>
      <c r="L50" s="50" t="s">
        <v>103</v>
      </c>
      <c r="M50" s="51" t="s">
        <v>90</v>
      </c>
      <c r="N50" s="51" t="s">
        <v>91</v>
      </c>
      <c r="O50" s="52" t="s">
        <v>100</v>
      </c>
      <c r="P50" s="52" t="s">
        <v>93</v>
      </c>
    </row>
    <row r="51" spans="1:16" ht="12.75" customHeight="1" thickBot="1">
      <c r="A51" s="10" t="str">
        <f t="shared" si="6"/>
        <v> AOEB 12 </v>
      </c>
      <c r="B51" s="3" t="str">
        <f t="shared" si="7"/>
        <v>II</v>
      </c>
      <c r="C51" s="10">
        <f t="shared" si="8"/>
        <v>53046.593999999997</v>
      </c>
      <c r="D51" s="12" t="str">
        <f t="shared" si="9"/>
        <v>vis</v>
      </c>
      <c r="E51" s="49">
        <f>VLOOKUP(C51,Active!C$21:E$969,3,FALSE)</f>
        <v>714.5005091704262</v>
      </c>
      <c r="F51" s="3" t="s">
        <v>78</v>
      </c>
      <c r="G51" s="12" t="str">
        <f t="shared" si="10"/>
        <v>53046.5940</v>
      </c>
      <c r="H51" s="10">
        <f t="shared" si="11"/>
        <v>-2479.5</v>
      </c>
      <c r="I51" s="50" t="s">
        <v>104</v>
      </c>
      <c r="J51" s="51" t="s">
        <v>105</v>
      </c>
      <c r="K51" s="50">
        <v>-2479.5</v>
      </c>
      <c r="L51" s="50" t="s">
        <v>106</v>
      </c>
      <c r="M51" s="51" t="s">
        <v>90</v>
      </c>
      <c r="N51" s="51" t="s">
        <v>91</v>
      </c>
      <c r="O51" s="52" t="s">
        <v>100</v>
      </c>
      <c r="P51" s="52" t="s">
        <v>93</v>
      </c>
    </row>
    <row r="52" spans="1:16" ht="12.75" customHeight="1" thickBot="1">
      <c r="A52" s="10" t="str">
        <f t="shared" si="6"/>
        <v> AOEB 12 </v>
      </c>
      <c r="B52" s="3" t="str">
        <f t="shared" si="7"/>
        <v>I</v>
      </c>
      <c r="C52" s="10">
        <f t="shared" si="8"/>
        <v>53232.670400000003</v>
      </c>
      <c r="D52" s="12" t="str">
        <f t="shared" si="9"/>
        <v>vis</v>
      </c>
      <c r="E52" s="49">
        <f>VLOOKUP(C52,Active!C$21:E$969,3,FALSE)</f>
        <v>957.99729960394382</v>
      </c>
      <c r="F52" s="3" t="s">
        <v>78</v>
      </c>
      <c r="G52" s="12" t="str">
        <f t="shared" si="10"/>
        <v>53232.6704</v>
      </c>
      <c r="H52" s="10">
        <f t="shared" si="11"/>
        <v>-2236</v>
      </c>
      <c r="I52" s="50" t="s">
        <v>107</v>
      </c>
      <c r="J52" s="51" t="s">
        <v>108</v>
      </c>
      <c r="K52" s="50">
        <v>-2236</v>
      </c>
      <c r="L52" s="50" t="s">
        <v>109</v>
      </c>
      <c r="M52" s="51" t="s">
        <v>90</v>
      </c>
      <c r="N52" s="51" t="s">
        <v>91</v>
      </c>
      <c r="O52" s="52" t="s">
        <v>92</v>
      </c>
      <c r="P52" s="52" t="s">
        <v>93</v>
      </c>
    </row>
    <row r="53" spans="1:16" ht="12.75" customHeight="1" thickBot="1">
      <c r="A53" s="10" t="str">
        <f t="shared" si="6"/>
        <v> AOEB 12 </v>
      </c>
      <c r="B53" s="3" t="str">
        <f t="shared" si="7"/>
        <v>II</v>
      </c>
      <c r="C53" s="10">
        <f t="shared" si="8"/>
        <v>53463.840400000001</v>
      </c>
      <c r="D53" s="12" t="str">
        <f t="shared" si="9"/>
        <v>vis</v>
      </c>
      <c r="E53" s="49">
        <f>VLOOKUP(C53,Active!C$21:E$969,3,FALSE)</f>
        <v>1260.5028996935534</v>
      </c>
      <c r="F53" s="3" t="s">
        <v>78</v>
      </c>
      <c r="G53" s="12" t="str">
        <f t="shared" si="10"/>
        <v>53463.8404</v>
      </c>
      <c r="H53" s="10">
        <f t="shared" si="11"/>
        <v>-1933.5</v>
      </c>
      <c r="I53" s="50" t="s">
        <v>115</v>
      </c>
      <c r="J53" s="51" t="s">
        <v>116</v>
      </c>
      <c r="K53" s="50">
        <v>-1933.5</v>
      </c>
      <c r="L53" s="50" t="s">
        <v>96</v>
      </c>
      <c r="M53" s="51" t="s">
        <v>90</v>
      </c>
      <c r="N53" s="51" t="s">
        <v>91</v>
      </c>
      <c r="O53" s="52" t="s">
        <v>92</v>
      </c>
      <c r="P53" s="52" t="s">
        <v>93</v>
      </c>
    </row>
    <row r="54" spans="1:16" ht="12.75" customHeight="1" thickBot="1">
      <c r="A54" s="10" t="str">
        <f t="shared" si="6"/>
        <v> AOEB 12 </v>
      </c>
      <c r="B54" s="3" t="str">
        <f t="shared" si="7"/>
        <v>I</v>
      </c>
      <c r="C54" s="10">
        <f t="shared" si="8"/>
        <v>53712.583200000001</v>
      </c>
      <c r="D54" s="12" t="str">
        <f t="shared" si="9"/>
        <v>vis</v>
      </c>
      <c r="E54" s="49">
        <f>VLOOKUP(C54,Active!C$21:E$969,3,FALSE)</f>
        <v>1586.0040026998706</v>
      </c>
      <c r="F54" s="3" t="s">
        <v>78</v>
      </c>
      <c r="G54" s="12" t="str">
        <f t="shared" si="10"/>
        <v>53712.5832</v>
      </c>
      <c r="H54" s="10">
        <f t="shared" si="11"/>
        <v>-1608</v>
      </c>
      <c r="I54" s="50" t="s">
        <v>117</v>
      </c>
      <c r="J54" s="51" t="s">
        <v>118</v>
      </c>
      <c r="K54" s="50">
        <v>-1608</v>
      </c>
      <c r="L54" s="50" t="s">
        <v>119</v>
      </c>
      <c r="M54" s="51" t="s">
        <v>90</v>
      </c>
      <c r="N54" s="51" t="s">
        <v>91</v>
      </c>
      <c r="O54" s="52" t="s">
        <v>92</v>
      </c>
      <c r="P54" s="52" t="s">
        <v>93</v>
      </c>
    </row>
    <row r="55" spans="1:16" ht="12.75" customHeight="1" thickBot="1">
      <c r="A55" s="10" t="str">
        <f t="shared" si="6"/>
        <v> AOEB 12 </v>
      </c>
      <c r="B55" s="3" t="str">
        <f t="shared" si="7"/>
        <v>I</v>
      </c>
      <c r="C55" s="10">
        <f t="shared" si="8"/>
        <v>53799.699200000003</v>
      </c>
      <c r="D55" s="12" t="str">
        <f t="shared" si="9"/>
        <v>vis</v>
      </c>
      <c r="E55" s="49">
        <f>VLOOKUP(C55,Active!C$21:E$969,3,FALSE)</f>
        <v>1700.0026956851505</v>
      </c>
      <c r="F55" s="3" t="s">
        <v>78</v>
      </c>
      <c r="G55" s="12" t="str">
        <f t="shared" si="10"/>
        <v>53799.6992</v>
      </c>
      <c r="H55" s="10">
        <f t="shared" si="11"/>
        <v>-1494</v>
      </c>
      <c r="I55" s="50" t="s">
        <v>120</v>
      </c>
      <c r="J55" s="51" t="s">
        <v>121</v>
      </c>
      <c r="K55" s="50">
        <v>-1494</v>
      </c>
      <c r="L55" s="50" t="s">
        <v>122</v>
      </c>
      <c r="M55" s="51" t="s">
        <v>90</v>
      </c>
      <c r="N55" s="51" t="s">
        <v>91</v>
      </c>
      <c r="O55" s="52" t="s">
        <v>123</v>
      </c>
      <c r="P55" s="52" t="s">
        <v>93</v>
      </c>
    </row>
    <row r="56" spans="1:16" ht="12.75" customHeight="1" thickBot="1">
      <c r="A56" s="10" t="str">
        <f t="shared" si="6"/>
        <v> AOEB 12 </v>
      </c>
      <c r="B56" s="3" t="str">
        <f t="shared" si="7"/>
        <v>I</v>
      </c>
      <c r="C56" s="10">
        <f t="shared" si="8"/>
        <v>54055.698900000003</v>
      </c>
      <c r="D56" s="12" t="str">
        <f t="shared" si="9"/>
        <v>vis</v>
      </c>
      <c r="E56" s="49">
        <f>VLOOKUP(C56,Active!C$21:E$969,3,FALSE)</f>
        <v>2035.0000693550071</v>
      </c>
      <c r="F56" s="3" t="s">
        <v>78</v>
      </c>
      <c r="G56" s="12" t="str">
        <f t="shared" si="10"/>
        <v>54055.6989</v>
      </c>
      <c r="H56" s="10">
        <f t="shared" si="11"/>
        <v>-1159</v>
      </c>
      <c r="I56" s="50" t="s">
        <v>124</v>
      </c>
      <c r="J56" s="51" t="s">
        <v>125</v>
      </c>
      <c r="K56" s="50">
        <v>-1159</v>
      </c>
      <c r="L56" s="50" t="s">
        <v>126</v>
      </c>
      <c r="M56" s="51" t="s">
        <v>90</v>
      </c>
      <c r="N56" s="51" t="s">
        <v>91</v>
      </c>
      <c r="O56" s="52" t="s">
        <v>123</v>
      </c>
      <c r="P56" s="52" t="s">
        <v>93</v>
      </c>
    </row>
    <row r="57" spans="1:16" ht="12.75" customHeight="1" thickBot="1">
      <c r="A57" s="10" t="str">
        <f t="shared" si="6"/>
        <v> AOEB 12 </v>
      </c>
      <c r="B57" s="3" t="str">
        <f t="shared" si="7"/>
        <v>II</v>
      </c>
      <c r="C57" s="10">
        <f t="shared" si="8"/>
        <v>54079.773000000001</v>
      </c>
      <c r="D57" s="12" t="str">
        <f t="shared" si="9"/>
        <v>vis</v>
      </c>
      <c r="E57" s="49">
        <f>VLOOKUP(C57,Active!C$21:E$969,3,FALSE)</f>
        <v>2066.5030760908148</v>
      </c>
      <c r="F57" s="3" t="s">
        <v>78</v>
      </c>
      <c r="G57" s="12" t="str">
        <f t="shared" si="10"/>
        <v>54079.7730</v>
      </c>
      <c r="H57" s="10">
        <f t="shared" si="11"/>
        <v>-1127.5</v>
      </c>
      <c r="I57" s="50" t="s">
        <v>127</v>
      </c>
      <c r="J57" s="51" t="s">
        <v>128</v>
      </c>
      <c r="K57" s="50">
        <v>-1127.5</v>
      </c>
      <c r="L57" s="50" t="s">
        <v>122</v>
      </c>
      <c r="M57" s="51" t="s">
        <v>90</v>
      </c>
      <c r="N57" s="51" t="s">
        <v>91</v>
      </c>
      <c r="O57" s="52" t="s">
        <v>100</v>
      </c>
      <c r="P57" s="52" t="s">
        <v>93</v>
      </c>
    </row>
    <row r="58" spans="1:16" ht="12.75" customHeight="1" thickBot="1">
      <c r="A58" s="10" t="str">
        <f t="shared" si="6"/>
        <v> AOEB 12 </v>
      </c>
      <c r="B58" s="3" t="str">
        <f t="shared" si="7"/>
        <v>II</v>
      </c>
      <c r="C58" s="10">
        <f t="shared" si="8"/>
        <v>54134.790200000003</v>
      </c>
      <c r="D58" s="12" t="str">
        <f t="shared" si="9"/>
        <v>vis</v>
      </c>
      <c r="E58" s="49">
        <f>VLOOKUP(C58,Active!C$21:E$969,3,FALSE)</f>
        <v>2138.4977600950147</v>
      </c>
      <c r="F58" s="3" t="s">
        <v>78</v>
      </c>
      <c r="G58" s="12" t="str">
        <f t="shared" si="10"/>
        <v>54134.7902</v>
      </c>
      <c r="H58" s="10">
        <f t="shared" si="11"/>
        <v>-1055.5</v>
      </c>
      <c r="I58" s="50" t="s">
        <v>135</v>
      </c>
      <c r="J58" s="51" t="s">
        <v>136</v>
      </c>
      <c r="K58" s="50" t="s">
        <v>137</v>
      </c>
      <c r="L58" s="50" t="s">
        <v>138</v>
      </c>
      <c r="M58" s="51" t="s">
        <v>90</v>
      </c>
      <c r="N58" s="51" t="s">
        <v>91</v>
      </c>
      <c r="O58" s="52" t="s">
        <v>139</v>
      </c>
      <c r="P58" s="52" t="s">
        <v>93</v>
      </c>
    </row>
    <row r="59" spans="1:16" ht="12.75" customHeight="1" thickBot="1">
      <c r="A59" s="10" t="str">
        <f t="shared" si="6"/>
        <v> AOEB 12 </v>
      </c>
      <c r="B59" s="3" t="str">
        <f t="shared" si="7"/>
        <v>I</v>
      </c>
      <c r="C59" s="10">
        <f t="shared" si="8"/>
        <v>54175.676800000001</v>
      </c>
      <c r="D59" s="12" t="str">
        <f t="shared" si="9"/>
        <v>vis</v>
      </c>
      <c r="E59" s="49">
        <f>VLOOKUP(C59,Active!C$21:E$969,3,FALSE)</f>
        <v>2192.0013525534791</v>
      </c>
      <c r="F59" s="3" t="s">
        <v>78</v>
      </c>
      <c r="G59" s="12" t="str">
        <f t="shared" si="10"/>
        <v>54175.6768</v>
      </c>
      <c r="H59" s="10">
        <f t="shared" si="11"/>
        <v>-1002</v>
      </c>
      <c r="I59" s="50" t="s">
        <v>145</v>
      </c>
      <c r="J59" s="51" t="s">
        <v>146</v>
      </c>
      <c r="K59" s="50" t="s">
        <v>147</v>
      </c>
      <c r="L59" s="50" t="s">
        <v>148</v>
      </c>
      <c r="M59" s="51" t="s">
        <v>90</v>
      </c>
      <c r="N59" s="51" t="s">
        <v>91</v>
      </c>
      <c r="O59" s="52" t="s">
        <v>139</v>
      </c>
      <c r="P59" s="52" t="s">
        <v>93</v>
      </c>
    </row>
    <row r="60" spans="1:16" ht="12.75" customHeight="1" thickBot="1">
      <c r="A60" s="10" t="str">
        <f t="shared" si="6"/>
        <v> AOEB 12 </v>
      </c>
      <c r="B60" s="3" t="str">
        <f t="shared" si="7"/>
        <v>I</v>
      </c>
      <c r="C60" s="10">
        <f t="shared" si="8"/>
        <v>54191.720300000001</v>
      </c>
      <c r="D60" s="12" t="str">
        <f t="shared" si="9"/>
        <v>vis</v>
      </c>
      <c r="E60" s="49">
        <f>VLOOKUP(C60,Active!C$21:E$969,3,FALSE)</f>
        <v>2212.9956363923757</v>
      </c>
      <c r="F60" s="3" t="s">
        <v>78</v>
      </c>
      <c r="G60" s="12" t="str">
        <f t="shared" si="10"/>
        <v>54191.7203</v>
      </c>
      <c r="H60" s="10">
        <f t="shared" si="11"/>
        <v>-981</v>
      </c>
      <c r="I60" s="50" t="s">
        <v>159</v>
      </c>
      <c r="J60" s="51" t="s">
        <v>160</v>
      </c>
      <c r="K60" s="50" t="s">
        <v>161</v>
      </c>
      <c r="L60" s="50" t="s">
        <v>162</v>
      </c>
      <c r="M60" s="51" t="s">
        <v>90</v>
      </c>
      <c r="N60" s="51" t="s">
        <v>91</v>
      </c>
      <c r="O60" s="52" t="s">
        <v>123</v>
      </c>
      <c r="P60" s="52" t="s">
        <v>93</v>
      </c>
    </row>
    <row r="61" spans="1:16" ht="12.75" customHeight="1" thickBot="1">
      <c r="A61" s="10" t="str">
        <f t="shared" si="6"/>
        <v>BAVM 225 </v>
      </c>
      <c r="B61" s="3" t="str">
        <f t="shared" si="7"/>
        <v>I</v>
      </c>
      <c r="C61" s="10">
        <f t="shared" si="8"/>
        <v>55887.445500000002</v>
      </c>
      <c r="D61" s="12" t="str">
        <f t="shared" si="9"/>
        <v>vis</v>
      </c>
      <c r="E61" s="49">
        <f>VLOOKUP(C61,Active!C$21:E$969,3,FALSE)</f>
        <v>4431.9962386032048</v>
      </c>
      <c r="F61" s="3" t="s">
        <v>78</v>
      </c>
      <c r="G61" s="12" t="str">
        <f t="shared" si="10"/>
        <v>55887.4455</v>
      </c>
      <c r="H61" s="10">
        <f t="shared" si="11"/>
        <v>1238</v>
      </c>
      <c r="I61" s="50" t="s">
        <v>262</v>
      </c>
      <c r="J61" s="51" t="s">
        <v>263</v>
      </c>
      <c r="K61" s="50" t="s">
        <v>264</v>
      </c>
      <c r="L61" s="50" t="s">
        <v>265</v>
      </c>
      <c r="M61" s="51" t="s">
        <v>90</v>
      </c>
      <c r="N61" s="51" t="s">
        <v>132</v>
      </c>
      <c r="O61" s="52" t="s">
        <v>133</v>
      </c>
      <c r="P61" s="53" t="s">
        <v>266</v>
      </c>
    </row>
    <row r="62" spans="1:16">
      <c r="B62" s="3"/>
      <c r="F62" s="3"/>
    </row>
    <row r="63" spans="1:16">
      <c r="B63" s="3"/>
      <c r="F63" s="3"/>
    </row>
    <row r="64" spans="1:1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</sheetData>
  <phoneticPr fontId="8" type="noConversion"/>
  <hyperlinks>
    <hyperlink ref="A3" r:id="rId1" xr:uid="{00000000-0004-0000-0100-000000000000}"/>
    <hyperlink ref="P12" r:id="rId2" display="http://www.konkoly.hu/cgi-bin/IBVS?5653" xr:uid="{00000000-0004-0000-0100-000001000000}"/>
    <hyperlink ref="P13" r:id="rId3" display="http://www.bav-astro.de/sfs/BAVM_link.php?BAVMnr=183" xr:uid="{00000000-0004-0000-0100-000002000000}"/>
    <hyperlink ref="P15" r:id="rId4" display="http://www.konkoly.hu/cgi-bin/IBVS?5898" xr:uid="{00000000-0004-0000-0100-000003000000}"/>
    <hyperlink ref="P16" r:id="rId5" display="http://www.konkoly.hu/cgi-bin/IBVS?5898" xr:uid="{00000000-0004-0000-0100-000004000000}"/>
    <hyperlink ref="P17" r:id="rId6" display="http://www.aavso.org/sites/default/files/jaavso/v36n2/171.pdf" xr:uid="{00000000-0004-0000-0100-000005000000}"/>
    <hyperlink ref="P18" r:id="rId7" display="http://www.aavso.org/sites/default/files/jaavso/v36n2/171.pdf" xr:uid="{00000000-0004-0000-0100-000006000000}"/>
    <hyperlink ref="P19" r:id="rId8" display="http://www.aavso.org/sites/default/files/jaavso/v36n2/186.pdf" xr:uid="{00000000-0004-0000-0100-000007000000}"/>
    <hyperlink ref="P20" r:id="rId9" display="http://www.aavso.org/sites/default/files/jaavso/v36n2/186.pdf" xr:uid="{00000000-0004-0000-0100-000008000000}"/>
    <hyperlink ref="P21" r:id="rId10" display="http://www.aavso.org/sites/default/files/jaavso/v37n1/44.pdf" xr:uid="{00000000-0004-0000-0100-000009000000}"/>
    <hyperlink ref="P22" r:id="rId11" display="http://www.bav-astro.de/sfs/BAVM_link.php?BAVMnr=209" xr:uid="{00000000-0004-0000-0100-00000A000000}"/>
    <hyperlink ref="P23" r:id="rId12" display="http://www.konkoly.hu/cgi-bin/IBVS?5938" xr:uid="{00000000-0004-0000-0100-00000B000000}"/>
    <hyperlink ref="P24" r:id="rId13" display="http://www.konkoly.hu/cgi-bin/IBVS?5898" xr:uid="{00000000-0004-0000-0100-00000C000000}"/>
    <hyperlink ref="P25" r:id="rId14" display="http://www.konkoly.hu/cgi-bin/IBVS?5938" xr:uid="{00000000-0004-0000-0100-00000D000000}"/>
    <hyperlink ref="P27" r:id="rId15" display="http://www.konkoly.hu/cgi-bin/IBVS?5898" xr:uid="{00000000-0004-0000-0100-00000E000000}"/>
    <hyperlink ref="P29" r:id="rId16" display="http://www.konkoly.hu/cgi-bin/IBVS?5929" xr:uid="{00000000-0004-0000-0100-00000F000000}"/>
    <hyperlink ref="P30" r:id="rId17" display="http://www.konkoly.hu/cgi-bin/IBVS?5980" xr:uid="{00000000-0004-0000-0100-000010000000}"/>
    <hyperlink ref="P32" r:id="rId18" display="http://www.konkoly.hu/cgi-bin/IBVS?5980" xr:uid="{00000000-0004-0000-0100-000011000000}"/>
    <hyperlink ref="P33" r:id="rId19" display="http://www.bav-astro.de/sfs/BAVM_link.php?BAVMnr=214" xr:uid="{00000000-0004-0000-0100-000012000000}"/>
    <hyperlink ref="P34" r:id="rId20" display="http://www.konkoly.hu/cgi-bin/IBVS?5980" xr:uid="{00000000-0004-0000-0100-000013000000}"/>
    <hyperlink ref="P35" r:id="rId21" display="http://www.konkoly.hu/cgi-bin/IBVS?6039" xr:uid="{00000000-0004-0000-0100-000014000000}"/>
    <hyperlink ref="P36" r:id="rId22" display="http://www.konkoly.hu/cgi-bin/IBVS?5980" xr:uid="{00000000-0004-0000-0100-000015000000}"/>
    <hyperlink ref="P38" r:id="rId23" display="http://www.bav-astro.de/sfs/BAVM_link.php?BAVMnr=220" xr:uid="{00000000-0004-0000-0100-000016000000}"/>
    <hyperlink ref="P61" r:id="rId24" display="http://www.bav-astro.de/sfs/BAVM_link.php?BAVMnr=225" xr:uid="{00000000-0004-0000-0100-000017000000}"/>
    <hyperlink ref="P41" r:id="rId25" display="http://www.konkoly.hu/cgi-bin/IBVS?6050" xr:uid="{00000000-0004-0000-0100-000018000000}"/>
    <hyperlink ref="P44" r:id="rId26" display="http://www.bav-astro.de/sfs/BAVM_link.php?BAVMnr=234" xr:uid="{00000000-0004-0000-0100-000019000000}"/>
    <hyperlink ref="P45" r:id="rId27" display="http://www.bav-astro.de/sfs/BAVM_link.php?BAVMnr=234" xr:uid="{00000000-0004-0000-0100-00001A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2024-01-03T01:47:18Z</dcterms:modified>
</cp:coreProperties>
</file>