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0" windowWidth="8820" windowHeight="120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<sst xmlns="http://schemas.openxmlformats.org/spreadsheetml/2006/main" count="191" uniqueCount="126">
  <si>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</si>
  <si>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</si>
  <si>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</si>
  <si>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</si>
  <si>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</si>
  <si>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</si>
  <si>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</si>
  <si>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</si>
  <si>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</si>
  <si>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</si>
  <si>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</si>
  <si>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</si>
  <si>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</si>
  <si>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</si>
  <si>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</si>
  <si>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</si>
  <si>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</si>
  <si>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</si>
  <si>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</si>
  <si>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</si>
  <si>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</si>
  <si>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</si>
  <si>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</si>
  <si>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</si>
  <si>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</si>
  <si>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</si>
  <si>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</si>
  <si>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not avail.</t>
  </si>
  <si>
    <t># of data points:</t>
  </si>
  <si>
    <t>ASAS</t>
  </si>
  <si>
    <t>EA</t>
  </si>
  <si>
    <t>IBVS 5438</t>
  </si>
  <si>
    <t>I</t>
  </si>
  <si>
    <t>IBVS 5543</t>
  </si>
  <si>
    <t>IBVS 5657</t>
  </si>
  <si>
    <t>AB Cnc / GSC 00809-00338</t>
  </si>
  <si>
    <t>II</t>
  </si>
  <si>
    <t>IBVS 5337</t>
  </si>
  <si>
    <t>IBVS 5337 gives a light curve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</si>
  <si>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</si>
  <si>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</si>
  <si>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</si>
  <si>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</si>
  <si>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</si>
  <si>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</si>
  <si>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</si>
  <si>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IBVS 5871</t>
  </si>
  <si>
    <t>Add cycle</t>
  </si>
  <si>
    <t>Old Cycle</t>
  </si>
  <si>
    <t>IBVS 5992</t>
  </si>
  <si>
    <t>OEJV 0003</t>
  </si>
  <si>
    <t>IBVS 6029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</si>
  <si>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</si>
  <si>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</si>
  <si>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</si>
  <si>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</si>
  <si>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</si>
  <si>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</si>
  <si>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</si>
  <si>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</si>
  <si>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</si>
  <si>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</si>
  <si>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</si>
  <si>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2452030.3549 </t>
  </si>
  <si>
    <t> 30.04.2001 20:31 </t>
  </si>
  <si>
    <t> 0.0040 </t>
  </si>
  <si>
    <t>E </t>
  </si>
  <si>
    <t>?</t>
  </si>
  <si>
    <t> Koss &amp; Hajek </t>
  </si>
  <si>
    <t>IBVS 5337 </t>
  </si>
  <si>
    <t>2452322.3158 </t>
  </si>
  <si>
    <t> 16.02.2002 19:34 </t>
  </si>
  <si>
    <t> -0.0001 </t>
  </si>
  <si>
    <t> D.Motl </t>
  </si>
  <si>
    <t>2452369.4469 </t>
  </si>
  <si>
    <t> 04.04.2002 22:43 </t>
  </si>
  <si>
    <t> -0.0024 </t>
  </si>
  <si>
    <t> K.Koss </t>
  </si>
  <si>
    <t>2452404.3602 </t>
  </si>
  <si>
    <t> 09.05.2002 20:38 </t>
  </si>
  <si>
    <t> -0.0027 </t>
  </si>
  <si>
    <t> P.Hajek </t>
  </si>
  <si>
    <t>2452691.525 </t>
  </si>
  <si>
    <t> 21.02.2003 00:36 </t>
  </si>
  <si>
    <t> -0.002 </t>
  </si>
  <si>
    <t>V </t>
  </si>
  <si>
    <t> K.Locher </t>
  </si>
  <si>
    <t> BBS 129 </t>
  </si>
  <si>
    <t>2452965.602 </t>
  </si>
  <si>
    <t> 22.11.2003 02:26 </t>
  </si>
  <si>
    <t> 0.003 </t>
  </si>
  <si>
    <t> BBS 130 </t>
  </si>
  <si>
    <t>2453384.547 </t>
  </si>
  <si>
    <t> 14.01.2005 01:07 </t>
  </si>
  <si>
    <t> -0.015 </t>
  </si>
  <si>
    <t>OEJV 0003 </t>
  </si>
  <si>
    <t>2453461.3722 </t>
  </si>
  <si>
    <t> 31.03.2005 20:55 </t>
  </si>
  <si>
    <t> 0.0001 </t>
  </si>
  <si>
    <t>o</t>
  </si>
  <si>
    <t> U.Schmidt </t>
  </si>
  <si>
    <t>BAVM 173 </t>
  </si>
  <si>
    <t>2454202.4113 </t>
  </si>
  <si>
    <t> 11.04.2007 21:52 </t>
  </si>
  <si>
    <t> -0.0020 </t>
  </si>
  <si>
    <t>C </t>
  </si>
  <si>
    <t>-I</t>
  </si>
  <si>
    <t> F.Agerer </t>
  </si>
  <si>
    <t>BAVM 186 </t>
  </si>
  <si>
    <t>2454830.8560 </t>
  </si>
  <si>
    <t> 30.12.2008 08:32 </t>
  </si>
  <si>
    <t>-1338</t>
  </si>
  <si>
    <t> -0.0021 </t>
  </si>
  <si>
    <t> R.Diethelm </t>
  </si>
  <si>
    <t>IBVS 5871 </t>
  </si>
  <si>
    <t>2455564.9178 </t>
  </si>
  <si>
    <t> 03.01.2011 10:01 </t>
  </si>
  <si>
    <t>-497</t>
  </si>
  <si>
    <t> 0.0013 </t>
  </si>
  <si>
    <t>IBVS 5992 </t>
  </si>
  <si>
    <t>2455998.7181 </t>
  </si>
  <si>
    <t> 12.03.2012 05:14 </t>
  </si>
  <si>
    <t>0</t>
  </si>
  <si>
    <t>IBVS 6029 </t>
  </si>
  <si>
    <t>BAD?</t>
  </si>
  <si>
    <t>vis/CCD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</si>
</sst>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 Cnc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5"/>
          <c:w val="0.9062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0905794"/>
        <c:axId val="53934419"/>
      </c:scatterChart>
      <c:valAx>
        <c:axId val="209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crossBetween val="midCat"/>
        <c:dispUnits/>
      </c:valAx>
      <c:valAx>
        <c:axId val="53934419"/>
        <c:scaling>
          <c:orientation val="minMax"/>
          <c:max val="-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931"/>
          <c:w val="0.788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 Cnc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0.0009</c:v>
                  </c:pt>
                  <c:pt idx="1">
                    <c:v>0.0011</c:v>
                  </c:pt>
                  <c:pt idx="2">
                    <c:v>0.0018</c:v>
                  </c:pt>
                  <c:pt idx="3">
                    <c:v>0.0007</c:v>
                  </c:pt>
                  <c:pt idx="4">
                    <c:v>0</c:v>
                  </c:pt>
                  <c:pt idx="5">
                    <c:v>0.005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0.002</c:v>
                  </c:pt>
                  <c:pt idx="9">
                    <c:v>0.0011</c:v>
                  </c:pt>
                  <c:pt idx="10">
                    <c:v>0.0004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5647724"/>
        <c:axId val="6611789"/>
      </c:scatterChart>
      <c:valAx>
        <c:axId val="1564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 val="autoZero"/>
        <c:crossBetween val="midCat"/>
        <c:dispUnits/>
      </c:valAx>
      <c:valAx>
        <c:axId val="6611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3125"/>
          <c:w val="0.685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0</xdr:rowOff>
    </xdr:from>
    <xdr:to>
      <xdr:col>16</xdr:col>
      <xdr:colOff>552450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752975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447675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009650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337" TargetMode="External" /><Relationship Id="rId2" Type="http://schemas.openxmlformats.org/officeDocument/2006/relationships/hyperlink" Target="http://www.konkoly.hu/cgi-bin/IBVS?5337" TargetMode="External" /><Relationship Id="rId3" Type="http://schemas.openxmlformats.org/officeDocument/2006/relationships/hyperlink" Target="http://www.konkoly.hu/cgi-bin/IBVS?5337" TargetMode="External" /><Relationship Id="rId4" Type="http://schemas.openxmlformats.org/officeDocument/2006/relationships/hyperlink" Target="http://www.konkoly.hu/cgi-bin/IBVS?5337" TargetMode="External" /><Relationship Id="rId5" Type="http://schemas.openxmlformats.org/officeDocument/2006/relationships/hyperlink" Target="http://var.astro.cz/oejv/issues/oejv0003.pdf" TargetMode="External" /><Relationship Id="rId6" Type="http://schemas.openxmlformats.org/officeDocument/2006/relationships/hyperlink" Target="http://www.bav-astro.de/sfs/BAVM_link.php?BAVMnr=173" TargetMode="External" /><Relationship Id="rId7" Type="http://schemas.openxmlformats.org/officeDocument/2006/relationships/hyperlink" Target="http://www.bav-astro.de/sfs/BAVM_link.php?BAVMnr=186" TargetMode="External" /><Relationship Id="rId8" Type="http://schemas.openxmlformats.org/officeDocument/2006/relationships/hyperlink" Target="http://www.konkoly.hu/cgi-bin/IBVS?5871" TargetMode="External" /><Relationship Id="rId9" Type="http://schemas.openxmlformats.org/officeDocument/2006/relationships/hyperlink" Target="http://www.konkoly.hu/cgi-bin/IBVS?5992" TargetMode="External" /><Relationship Id="rId10" Type="http://schemas.openxmlformats.org/officeDocument/2006/relationships/hyperlink" Target="http://www.konkoly.hu/cgi-bin/IBVS?60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4" ht="12.75">
      <c r="A2" t="s">
        <v>23</v>
      </c>
      <c r="B2" t="s">
        <v>30</v>
      </c>
      <c r="C2" s="19" t="s">
        <v>38</v>
      </c>
      <c r="D2" s="3"/>
    </row>
    <row r="3" ht="13.5" thickBot="1"/>
    <row r="4" spans="1:4" ht="14.25" thickBot="1" thickTop="1">
      <c r="A4" s="5" t="s">
        <v>0</v>
      </c>
      <c r="C4" s="8" t="s">
        <v>27</v>
      </c>
      <c r="D4" s="9" t="s">
        <v>27</v>
      </c>
    </row>
    <row r="5" spans="1:4" ht="13.5" thickTop="1">
      <c r="A5" s="23" t="s">
        <v>39</v>
      </c>
      <c r="B5" s="24"/>
      <c r="C5" s="25">
        <v>-9.5</v>
      </c>
      <c r="D5" s="24" t="s">
        <v>40</v>
      </c>
    </row>
    <row r="6" ht="12.75">
      <c r="A6" s="5" t="s">
        <v>1</v>
      </c>
    </row>
    <row r="7" spans="1:4" ht="12.75">
      <c r="A7" t="s">
        <v>2</v>
      </c>
      <c r="C7" s="22">
        <v>52624.02</v>
      </c>
      <c r="D7" t="s">
        <v>29</v>
      </c>
    </row>
    <row r="8" spans="1:4" ht="12.75">
      <c r="A8" t="s">
        <v>3</v>
      </c>
      <c r="C8" s="22">
        <v>0.87286</v>
      </c>
      <c r="D8" t="s">
        <v>29</v>
      </c>
    </row>
    <row r="9" spans="1:4" ht="12.75">
      <c r="A9" s="38" t="s">
        <v>45</v>
      </c>
      <c r="B9" s="19">
        <v>21</v>
      </c>
      <c r="C9" s="36" t="str">
        <f>"F"&amp;B9</f>
        <v>F21</v>
      </c>
      <c r="D9" s="37" t="str">
        <f>"G"&amp;B9</f>
        <v>G21</v>
      </c>
    </row>
    <row r="10" spans="1:5" ht="13.5" thickBot="1">
      <c r="A10" s="24"/>
      <c r="B10" s="24"/>
      <c r="C10" s="4" t="s">
        <v>19</v>
      </c>
      <c r="D10" s="4" t="s">
        <v>20</v>
      </c>
      <c r="E10" s="24"/>
    </row>
    <row r="11" spans="1:5" ht="12.75">
      <c r="A11" s="24" t="s">
        <v>15</v>
      </c>
      <c r="B11" s="24"/>
      <c r="C11" s="35">
        <f ca="1">INTERCEPT(INDIRECT($D$9):G992,INDIRECT($C$9):F992)</f>
        <v>-0.13809138243424426</v>
      </c>
      <c r="D11" s="3"/>
      <c r="E11" s="24"/>
    </row>
    <row r="12" spans="1:5" ht="12.75">
      <c r="A12" s="24" t="s">
        <v>16</v>
      </c>
      <c r="B12" s="24"/>
      <c r="C12" s="35">
        <f ca="1">SLOPE(INDIRECT($D$9):G992,INDIRECT($C$9):F992)</f>
        <v>-2.004502695611428E-05</v>
      </c>
      <c r="D12" s="3"/>
      <c r="E12" s="24"/>
    </row>
    <row r="13" spans="1:3" ht="12.75">
      <c r="A13" s="24" t="s">
        <v>18</v>
      </c>
      <c r="B13" s="24"/>
      <c r="C13" s="3" t="s">
        <v>13</v>
      </c>
    </row>
    <row r="14" spans="1:3" ht="12.75">
      <c r="A14" s="24"/>
      <c r="B14" s="24"/>
      <c r="C14" s="24"/>
    </row>
    <row r="15" spans="1:6" ht="12.75">
      <c r="A15" s="26" t="s">
        <v>17</v>
      </c>
      <c r="B15" s="24"/>
      <c r="C15" s="27">
        <f>(C7+C11)+(C8+C12)*INT(MAX(F21:F3533))</f>
        <v>55998.28117454335</v>
      </c>
      <c r="E15" s="28" t="s">
        <v>47</v>
      </c>
      <c r="F15" s="25">
        <v>1</v>
      </c>
    </row>
    <row r="16" spans="1:6" ht="12.75">
      <c r="A16" s="30" t="s">
        <v>4</v>
      </c>
      <c r="B16" s="24"/>
      <c r="C16" s="31">
        <f>+C8+C12</f>
        <v>0.8728399549730439</v>
      </c>
      <c r="E16" s="28" t="s">
        <v>41</v>
      </c>
      <c r="F16" s="29">
        <f ca="1">NOW()+15018.5+$C$5/24</f>
        <v>59895.8563650463</v>
      </c>
    </row>
    <row r="17" spans="1:6" ht="13.5" thickBot="1">
      <c r="A17" s="28" t="s">
        <v>28</v>
      </c>
      <c r="B17" s="24"/>
      <c r="C17" s="24">
        <f>COUNT(C21:C2191)</f>
        <v>13</v>
      </c>
      <c r="E17" s="28" t="s">
        <v>48</v>
      </c>
      <c r="F17" s="29">
        <f>ROUND(2*(F16-$C$7)/$C$8,0)/2+F15</f>
        <v>8332</v>
      </c>
    </row>
    <row r="18" spans="1:6" ht="14.25" thickBot="1" thickTop="1">
      <c r="A18" s="30" t="s">
        <v>5</v>
      </c>
      <c r="B18" s="24"/>
      <c r="C18" s="33">
        <f>+C15</f>
        <v>55998.28117454335</v>
      </c>
      <c r="D18" s="34">
        <f>+C16</f>
        <v>0.8728399549730439</v>
      </c>
      <c r="E18" s="28" t="s">
        <v>42</v>
      </c>
      <c r="F18" s="37">
        <f>ROUND(2*(F16-$C$15)/$C$16,0)/2+F15</f>
        <v>4466.5</v>
      </c>
    </row>
    <row r="19" spans="5:6" ht="13.5" thickTop="1">
      <c r="E19" s="28" t="s">
        <v>43</v>
      </c>
      <c r="F19" s="32">
        <f>+$C$15+$C$16*F18-15018.5-$C$5/24</f>
        <v>44878.71666676379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59</v>
      </c>
      <c r="I20" s="7" t="s">
        <v>62</v>
      </c>
      <c r="J20" s="7" t="s">
        <v>56</v>
      </c>
      <c r="K20" s="7" t="s">
        <v>54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54" t="s">
        <v>124</v>
      </c>
    </row>
    <row r="21" spans="1:18" ht="12.75">
      <c r="A21" t="s">
        <v>37</v>
      </c>
      <c r="B21" s="3" t="s">
        <v>36</v>
      </c>
      <c r="C21" s="20">
        <v>52030.3549</v>
      </c>
      <c r="D21" s="20">
        <v>0.0009</v>
      </c>
      <c r="E21">
        <f aca="true" t="shared" si="0" ref="E21:E32">+(C21-C$7)/C$8</f>
        <v>-680.1378227894489</v>
      </c>
      <c r="F21">
        <f aca="true" t="shared" si="1" ref="F21:F33">ROUND(2*E21,0)/2</f>
        <v>-680</v>
      </c>
      <c r="G21">
        <f>+C21-(C$7+F21*C$8)</f>
        <v>-0.12029999999504071</v>
      </c>
      <c r="I21">
        <f>+G21</f>
        <v>-0.12029999999504071</v>
      </c>
      <c r="O21">
        <f aca="true" t="shared" si="2" ref="O21:O32">+C$11+C$12*$F21</f>
        <v>-0.12446076410408655</v>
      </c>
      <c r="Q21" s="2">
        <f aca="true" t="shared" si="3" ref="Q21:Q32">+C21-15018.5</f>
        <v>37011.8549</v>
      </c>
      <c r="R21" t="s">
        <v>54</v>
      </c>
    </row>
    <row r="22" spans="1:18" ht="12.75">
      <c r="A22" t="s">
        <v>37</v>
      </c>
      <c r="B22" s="3" t="s">
        <v>32</v>
      </c>
      <c r="C22" s="20">
        <v>52322.3158</v>
      </c>
      <c r="D22" s="20">
        <v>0.0011</v>
      </c>
      <c r="E22">
        <f t="shared" si="0"/>
        <v>-345.65016153793295</v>
      </c>
      <c r="F22">
        <f t="shared" si="1"/>
        <v>-345.5</v>
      </c>
      <c r="G22">
        <f>+C22-(C$7+F22*C$8)</f>
        <v>-0.131070000003092</v>
      </c>
      <c r="I22">
        <f>+G22</f>
        <v>-0.131070000003092</v>
      </c>
      <c r="O22">
        <f t="shared" si="2"/>
        <v>-0.13116582562090678</v>
      </c>
      <c r="Q22" s="2">
        <f t="shared" si="3"/>
        <v>37303.8158</v>
      </c>
      <c r="R22" t="s">
        <v>54</v>
      </c>
    </row>
    <row r="23" spans="1:18" ht="12.75">
      <c r="A23" t="s">
        <v>37</v>
      </c>
      <c r="B23" s="3" t="s">
        <v>32</v>
      </c>
      <c r="C23" s="20">
        <v>52369.4469</v>
      </c>
      <c r="D23" s="20">
        <v>0.0018</v>
      </c>
      <c r="E23">
        <f t="shared" si="0"/>
        <v>-291.6539880393123</v>
      </c>
      <c r="F23">
        <f t="shared" si="1"/>
        <v>-291.5</v>
      </c>
      <c r="G23">
        <f>+C23-(C$7+F23*C$8)</f>
        <v>-0.13440999999147607</v>
      </c>
      <c r="I23">
        <f>+G23</f>
        <v>-0.13440999999147607</v>
      </c>
      <c r="O23">
        <f t="shared" si="2"/>
        <v>-0.13224825707653695</v>
      </c>
      <c r="Q23" s="2">
        <f t="shared" si="3"/>
        <v>37350.9469</v>
      </c>
      <c r="R23" t="s">
        <v>54</v>
      </c>
    </row>
    <row r="24" spans="1:18" ht="12.75">
      <c r="A24" t="s">
        <v>37</v>
      </c>
      <c r="B24" s="3" t="s">
        <v>32</v>
      </c>
      <c r="C24" s="20">
        <v>52404.3602</v>
      </c>
      <c r="D24" s="20">
        <v>0.0007</v>
      </c>
      <c r="E24">
        <f t="shared" si="0"/>
        <v>-251.6552482643196</v>
      </c>
      <c r="F24">
        <f t="shared" si="1"/>
        <v>-251.5</v>
      </c>
      <c r="G24">
        <f>+C24-(C$7+F24*C$8)</f>
        <v>-0.13550999999279156</v>
      </c>
      <c r="I24">
        <f>+G24</f>
        <v>-0.13550999999279156</v>
      </c>
      <c r="O24">
        <f t="shared" si="2"/>
        <v>-0.13305005815478152</v>
      </c>
      <c r="Q24" s="2">
        <f t="shared" si="3"/>
        <v>37385.8602</v>
      </c>
      <c r="R24" t="s">
        <v>54</v>
      </c>
    </row>
    <row r="25" spans="1:21" ht="12.75">
      <c r="A25" t="s">
        <v>29</v>
      </c>
      <c r="C25" s="21">
        <v>52624.02</v>
      </c>
      <c r="D25" s="10" t="s">
        <v>13</v>
      </c>
      <c r="E25">
        <f t="shared" si="0"/>
        <v>0</v>
      </c>
      <c r="F25">
        <f t="shared" si="1"/>
        <v>0</v>
      </c>
      <c r="O25">
        <f t="shared" si="2"/>
        <v>-0.13809138243424426</v>
      </c>
      <c r="Q25" s="2">
        <f t="shared" si="3"/>
        <v>37605.52</v>
      </c>
      <c r="R25" t="e">
        <v>#N/A</v>
      </c>
      <c r="U25">
        <f>+C25-(C$7+F25*C$8)</f>
        <v>0</v>
      </c>
    </row>
    <row r="26" spans="1:18" ht="12.75">
      <c r="A26" s="11" t="s">
        <v>31</v>
      </c>
      <c r="B26" s="12" t="s">
        <v>32</v>
      </c>
      <c r="C26" s="13">
        <v>52691.525</v>
      </c>
      <c r="D26" s="13">
        <v>0.005</v>
      </c>
      <c r="E26">
        <f t="shared" si="0"/>
        <v>77.33771738881912</v>
      </c>
      <c r="F26">
        <f t="shared" si="1"/>
        <v>77.5</v>
      </c>
      <c r="G26">
        <f aca="true" t="shared" si="4" ref="G26:G32">+C26-(C$7+F26*C$8)</f>
        <v>-0.14164999999775318</v>
      </c>
      <c r="I26">
        <f>+G26</f>
        <v>-0.14164999999775318</v>
      </c>
      <c r="O26">
        <f t="shared" si="2"/>
        <v>-0.1396448720233431</v>
      </c>
      <c r="Q26" s="2">
        <f t="shared" si="3"/>
        <v>37673.025</v>
      </c>
      <c r="R26" t="s">
        <v>125</v>
      </c>
    </row>
    <row r="27" spans="1:18" ht="12.75">
      <c r="A27" s="14" t="s">
        <v>33</v>
      </c>
      <c r="B27" s="15" t="s">
        <v>32</v>
      </c>
      <c r="C27" s="14">
        <v>52965.602</v>
      </c>
      <c r="D27" s="16">
        <v>0.006</v>
      </c>
      <c r="E27">
        <f t="shared" si="0"/>
        <v>391.3365259033547</v>
      </c>
      <c r="F27">
        <f t="shared" si="1"/>
        <v>391.5</v>
      </c>
      <c r="G27">
        <f t="shared" si="4"/>
        <v>-0.1426900000005844</v>
      </c>
      <c r="I27">
        <f>+G27</f>
        <v>-0.1426900000005844</v>
      </c>
      <c r="O27">
        <f t="shared" si="2"/>
        <v>-0.145939010487563</v>
      </c>
      <c r="Q27" s="2">
        <f t="shared" si="3"/>
        <v>37947.102</v>
      </c>
      <c r="R27" t="s">
        <v>54</v>
      </c>
    </row>
    <row r="28" spans="1:21" ht="12.75">
      <c r="A28" s="14" t="s">
        <v>50</v>
      </c>
      <c r="B28" s="15" t="s">
        <v>32</v>
      </c>
      <c r="C28" s="14">
        <v>53384.547</v>
      </c>
      <c r="D28" s="14">
        <v>0.003</v>
      </c>
      <c r="E28">
        <f t="shared" si="0"/>
        <v>871.3046765804389</v>
      </c>
      <c r="F28">
        <f t="shared" si="1"/>
        <v>871.5</v>
      </c>
      <c r="O28">
        <f t="shared" si="2"/>
        <v>-0.15556062342649785</v>
      </c>
      <c r="Q28" s="2">
        <f t="shared" si="3"/>
        <v>38366.047</v>
      </c>
      <c r="R28" t="e">
        <v>#N/A</v>
      </c>
      <c r="U28">
        <f>+C28-(C$7+F28*C$8)</f>
        <v>-0.17048999999678927</v>
      </c>
    </row>
    <row r="29" spans="1:18" ht="12.75">
      <c r="A29" s="17" t="s">
        <v>34</v>
      </c>
      <c r="B29" s="18"/>
      <c r="C29" s="13">
        <v>53461.3722</v>
      </c>
      <c r="D29" s="13">
        <v>0.002</v>
      </c>
      <c r="E29">
        <f t="shared" si="0"/>
        <v>959.3201658914387</v>
      </c>
      <c r="F29">
        <f t="shared" si="1"/>
        <v>959.5</v>
      </c>
      <c r="G29">
        <f t="shared" si="4"/>
        <v>-0.15696999999636319</v>
      </c>
      <c r="I29">
        <f>+G29</f>
        <v>-0.15696999999636319</v>
      </c>
      <c r="O29">
        <f t="shared" si="2"/>
        <v>-0.15732458579863592</v>
      </c>
      <c r="Q29" s="2">
        <f t="shared" si="3"/>
        <v>38442.8722</v>
      </c>
      <c r="R29" t="s">
        <v>56</v>
      </c>
    </row>
    <row r="30" spans="1:18" ht="12.75">
      <c r="A30" s="13" t="s">
        <v>44</v>
      </c>
      <c r="B30" s="18"/>
      <c r="C30" s="13">
        <v>54202.4113</v>
      </c>
      <c r="D30" s="13">
        <v>0.0011</v>
      </c>
      <c r="E30">
        <f t="shared" si="0"/>
        <v>1808.298352542221</v>
      </c>
      <c r="F30">
        <f t="shared" si="1"/>
        <v>1808.5</v>
      </c>
      <c r="G30">
        <f t="shared" si="4"/>
        <v>-0.17600999999558553</v>
      </c>
      <c r="I30">
        <f>+G30</f>
        <v>-0.17600999999558553</v>
      </c>
      <c r="O30">
        <f t="shared" si="2"/>
        <v>-0.17434281368437693</v>
      </c>
      <c r="Q30" s="2">
        <f t="shared" si="3"/>
        <v>39183.9113</v>
      </c>
      <c r="R30" t="s">
        <v>56</v>
      </c>
    </row>
    <row r="31" spans="1:18" ht="12.75">
      <c r="A31" s="13" t="s">
        <v>46</v>
      </c>
      <c r="B31" s="12" t="s">
        <v>32</v>
      </c>
      <c r="C31" s="13">
        <v>54830.856</v>
      </c>
      <c r="D31" s="13">
        <v>0.0004</v>
      </c>
      <c r="E31">
        <f t="shared" si="0"/>
        <v>2528.281740485305</v>
      </c>
      <c r="F31">
        <f t="shared" si="1"/>
        <v>2528.5</v>
      </c>
      <c r="G31">
        <f t="shared" si="4"/>
        <v>-0.19051000000035856</v>
      </c>
      <c r="I31">
        <f>+G31</f>
        <v>-0.19051000000035856</v>
      </c>
      <c r="O31">
        <f t="shared" si="2"/>
        <v>-0.18877523309277922</v>
      </c>
      <c r="Q31" s="2">
        <f t="shared" si="3"/>
        <v>39812.356</v>
      </c>
      <c r="R31" t="s">
        <v>54</v>
      </c>
    </row>
    <row r="32" spans="1:18" ht="12.75">
      <c r="A32" s="14" t="s">
        <v>49</v>
      </c>
      <c r="B32" s="15" t="s">
        <v>32</v>
      </c>
      <c r="C32" s="14">
        <v>55564.9178</v>
      </c>
      <c r="D32" s="14">
        <v>0.0002</v>
      </c>
      <c r="E32">
        <f t="shared" si="0"/>
        <v>3369.2663199138537</v>
      </c>
      <c r="F32">
        <f t="shared" si="1"/>
        <v>3369.5</v>
      </c>
      <c r="G32">
        <f t="shared" si="4"/>
        <v>-0.2039699999950244</v>
      </c>
      <c r="I32">
        <f>+G32</f>
        <v>-0.2039699999950244</v>
      </c>
      <c r="O32">
        <f t="shared" si="2"/>
        <v>-0.20563310076287133</v>
      </c>
      <c r="Q32" s="2">
        <f t="shared" si="3"/>
        <v>40546.4178</v>
      </c>
      <c r="R32" t="s">
        <v>54</v>
      </c>
    </row>
    <row r="33" spans="1:18" ht="12.75">
      <c r="A33" s="39" t="s">
        <v>51</v>
      </c>
      <c r="B33" s="40" t="s">
        <v>32</v>
      </c>
      <c r="C33" s="39">
        <v>55998.7181</v>
      </c>
      <c r="D33" s="39">
        <v>0.0004</v>
      </c>
      <c r="E33">
        <f>+(C33-C$7)/C$8</f>
        <v>3866.253580184682</v>
      </c>
      <c r="F33">
        <f t="shared" si="1"/>
        <v>3866.5</v>
      </c>
      <c r="G33">
        <f>+C33-(C$7+F33*C$8)</f>
        <v>-0.21508999999787193</v>
      </c>
      <c r="I33">
        <f>+G33</f>
        <v>-0.21508999999787193</v>
      </c>
      <c r="O33">
        <f>+C$11+C$12*$F33</f>
        <v>-0.2155954791600601</v>
      </c>
      <c r="Q33" s="2">
        <f>+C33-15018.5</f>
        <v>40980.2181</v>
      </c>
      <c r="R33" t="s">
        <v>54</v>
      </c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9"/>
  <sheetViews>
    <sheetView zoomScalePageLayoutView="0" workbookViewId="0" topLeftCell="A2">
      <selection activeCell="A11" sqref="A11:IV448"/>
    </sheetView>
  </sheetViews>
  <sheetFormatPr defaultColWidth="9.140625" defaultRowHeight="12.75"/>
  <cols>
    <col min="1" max="1" width="19.7109375" style="10" customWidth="1"/>
    <col min="2" max="2" width="4.421875" style="24" customWidth="1"/>
    <col min="3" max="3" width="12.7109375" style="10" customWidth="1"/>
    <col min="4" max="4" width="5.421875" style="24" customWidth="1"/>
    <col min="5" max="5" width="14.8515625" style="24" customWidth="1"/>
    <col min="6" max="6" width="9.140625" style="24" customWidth="1"/>
    <col min="7" max="7" width="12.00390625" style="24" customWidth="1"/>
    <col min="8" max="8" width="14.140625" style="10" customWidth="1"/>
    <col min="9" max="9" width="22.57421875" style="24" customWidth="1"/>
    <col min="10" max="10" width="25.140625" style="24" customWidth="1"/>
    <col min="11" max="11" width="15.7109375" style="24" customWidth="1"/>
    <col min="12" max="12" width="14.140625" style="24" customWidth="1"/>
    <col min="13" max="13" width="9.57421875" style="24" customWidth="1"/>
    <col min="14" max="14" width="14.140625" style="24" customWidth="1"/>
    <col min="15" max="15" width="23.421875" style="24" customWidth="1"/>
    <col min="16" max="16" width="16.57421875" style="24" customWidth="1"/>
    <col min="17" max="17" width="41.00390625" style="24" customWidth="1"/>
    <col min="18" max="16384" width="9.140625" style="24" customWidth="1"/>
  </cols>
  <sheetData>
    <row r="1" spans="1:10" ht="15.75">
      <c r="A1" s="41" t="s">
        <v>52</v>
      </c>
      <c r="I1" s="42" t="s">
        <v>53</v>
      </c>
      <c r="J1" s="43" t="s">
        <v>54</v>
      </c>
    </row>
    <row r="2" spans="9:10" ht="12.75">
      <c r="I2" s="44" t="s">
        <v>55</v>
      </c>
      <c r="J2" s="45" t="s">
        <v>56</v>
      </c>
    </row>
    <row r="3" spans="1:10" ht="12.75">
      <c r="A3" s="46" t="s">
        <v>57</v>
      </c>
      <c r="I3" s="44" t="s">
        <v>58</v>
      </c>
      <c r="J3" s="45" t="s">
        <v>59</v>
      </c>
    </row>
    <row r="4" spans="9:10" ht="12.75">
      <c r="I4" s="44" t="s">
        <v>60</v>
      </c>
      <c r="J4" s="45" t="s">
        <v>59</v>
      </c>
    </row>
    <row r="5" spans="9:10" ht="13.5" thickBot="1">
      <c r="I5" s="47" t="s">
        <v>61</v>
      </c>
      <c r="J5" s="48" t="s">
        <v>62</v>
      </c>
    </row>
    <row r="10" ht="13.5" thickBot="1"/>
    <row r="11" spans="1:16" ht="12.75" customHeight="1" thickBot="1">
      <c r="A11" s="10" t="str">
        <f aca="true" t="shared" si="0" ref="A11:A22">P11</f>
        <v>IBVS 5337 </v>
      </c>
      <c r="B11" s="3" t="str">
        <f aca="true" t="shared" si="1" ref="B11:B22">IF(H11=INT(H11),"I","II")</f>
        <v>II</v>
      </c>
      <c r="C11" s="10">
        <f aca="true" t="shared" si="2" ref="C11:C22">1*G11</f>
        <v>52030.3549</v>
      </c>
      <c r="D11" s="24" t="str">
        <f aca="true" t="shared" si="3" ref="D11:D22">VLOOKUP(F11,I$1:J$5,2,FALSE)</f>
        <v>vis</v>
      </c>
      <c r="E11" s="49">
        <f>VLOOKUP(C11,A!C$21:E$973,3,FALSE)</f>
        <v>-680.1378227894489</v>
      </c>
      <c r="F11" s="3" t="s">
        <v>61</v>
      </c>
      <c r="G11" s="24" t="str">
        <f aca="true" t="shared" si="4" ref="G11:G22">MID(I11,3,LEN(I11)-3)</f>
        <v>52030.3549</v>
      </c>
      <c r="H11" s="10">
        <f aca="true" t="shared" si="5" ref="H11:H22">1*K11</f>
        <v>-4546.5</v>
      </c>
      <c r="I11" s="50" t="s">
        <v>63</v>
      </c>
      <c r="J11" s="51" t="s">
        <v>64</v>
      </c>
      <c r="K11" s="50">
        <v>-4546.5</v>
      </c>
      <c r="L11" s="50" t="s">
        <v>65</v>
      </c>
      <c r="M11" s="51" t="s">
        <v>66</v>
      </c>
      <c r="N11" s="51" t="s">
        <v>67</v>
      </c>
      <c r="O11" s="52" t="s">
        <v>68</v>
      </c>
      <c r="P11" s="53" t="s">
        <v>69</v>
      </c>
    </row>
    <row r="12" spans="1:16" ht="12.75" customHeight="1" thickBot="1">
      <c r="A12" s="10" t="str">
        <f t="shared" si="0"/>
        <v>IBVS 5337 </v>
      </c>
      <c r="B12" s="3" t="str">
        <f t="shared" si="1"/>
        <v>I</v>
      </c>
      <c r="C12" s="10">
        <f t="shared" si="2"/>
        <v>52322.3158</v>
      </c>
      <c r="D12" s="24" t="str">
        <f t="shared" si="3"/>
        <v>vis</v>
      </c>
      <c r="E12" s="49">
        <f>VLOOKUP(C12,A!C$21:E$973,3,FALSE)</f>
        <v>-345.65016153793295</v>
      </c>
      <c r="F12" s="3" t="s">
        <v>61</v>
      </c>
      <c r="G12" s="24" t="str">
        <f t="shared" si="4"/>
        <v>52322.3158</v>
      </c>
      <c r="H12" s="10">
        <f t="shared" si="5"/>
        <v>-4212</v>
      </c>
      <c r="I12" s="50" t="s">
        <v>70</v>
      </c>
      <c r="J12" s="51" t="s">
        <v>71</v>
      </c>
      <c r="K12" s="50">
        <v>-4212</v>
      </c>
      <c r="L12" s="50" t="s">
        <v>72</v>
      </c>
      <c r="M12" s="51" t="s">
        <v>66</v>
      </c>
      <c r="N12" s="51" t="s">
        <v>67</v>
      </c>
      <c r="O12" s="52" t="s">
        <v>73</v>
      </c>
      <c r="P12" s="53" t="s">
        <v>69</v>
      </c>
    </row>
    <row r="13" spans="1:16" ht="12.75" customHeight="1" thickBot="1">
      <c r="A13" s="10" t="str">
        <f t="shared" si="0"/>
        <v>IBVS 5337 </v>
      </c>
      <c r="B13" s="3" t="str">
        <f t="shared" si="1"/>
        <v>I</v>
      </c>
      <c r="C13" s="10">
        <f t="shared" si="2"/>
        <v>52369.4469</v>
      </c>
      <c r="D13" s="24" t="str">
        <f t="shared" si="3"/>
        <v>vis</v>
      </c>
      <c r="E13" s="49">
        <f>VLOOKUP(C13,A!C$21:E$973,3,FALSE)</f>
        <v>-291.6539880393123</v>
      </c>
      <c r="F13" s="3" t="s">
        <v>61</v>
      </c>
      <c r="G13" s="24" t="str">
        <f t="shared" si="4"/>
        <v>52369.4469</v>
      </c>
      <c r="H13" s="10">
        <f t="shared" si="5"/>
        <v>-4158</v>
      </c>
      <c r="I13" s="50" t="s">
        <v>74</v>
      </c>
      <c r="J13" s="51" t="s">
        <v>75</v>
      </c>
      <c r="K13" s="50">
        <v>-4158</v>
      </c>
      <c r="L13" s="50" t="s">
        <v>76</v>
      </c>
      <c r="M13" s="51" t="s">
        <v>66</v>
      </c>
      <c r="N13" s="51" t="s">
        <v>67</v>
      </c>
      <c r="O13" s="52" t="s">
        <v>77</v>
      </c>
      <c r="P13" s="53" t="s">
        <v>69</v>
      </c>
    </row>
    <row r="14" spans="1:16" ht="12.75" customHeight="1" thickBot="1">
      <c r="A14" s="10" t="str">
        <f t="shared" si="0"/>
        <v>IBVS 5337 </v>
      </c>
      <c r="B14" s="3" t="str">
        <f t="shared" si="1"/>
        <v>I</v>
      </c>
      <c r="C14" s="10">
        <f t="shared" si="2"/>
        <v>52404.3602</v>
      </c>
      <c r="D14" s="24" t="str">
        <f t="shared" si="3"/>
        <v>vis</v>
      </c>
      <c r="E14" s="49">
        <f>VLOOKUP(C14,A!C$21:E$973,3,FALSE)</f>
        <v>-251.6552482643196</v>
      </c>
      <c r="F14" s="3" t="s">
        <v>61</v>
      </c>
      <c r="G14" s="24" t="str">
        <f t="shared" si="4"/>
        <v>52404.3602</v>
      </c>
      <c r="H14" s="10">
        <f t="shared" si="5"/>
        <v>-4118</v>
      </c>
      <c r="I14" s="50" t="s">
        <v>78</v>
      </c>
      <c r="J14" s="51" t="s">
        <v>79</v>
      </c>
      <c r="K14" s="50">
        <v>-4118</v>
      </c>
      <c r="L14" s="50" t="s">
        <v>80</v>
      </c>
      <c r="M14" s="51" t="s">
        <v>66</v>
      </c>
      <c r="N14" s="51" t="s">
        <v>67</v>
      </c>
      <c r="O14" s="52" t="s">
        <v>81</v>
      </c>
      <c r="P14" s="53" t="s">
        <v>69</v>
      </c>
    </row>
    <row r="15" spans="1:16" ht="12.75" customHeight="1" thickBot="1">
      <c r="A15" s="10" t="str">
        <f t="shared" si="0"/>
        <v> BBS 129 </v>
      </c>
      <c r="B15" s="3" t="str">
        <f t="shared" si="1"/>
        <v>I</v>
      </c>
      <c r="C15" s="10">
        <f t="shared" si="2"/>
        <v>52691.525</v>
      </c>
      <c r="D15" s="24" t="str">
        <f t="shared" si="3"/>
        <v>vis</v>
      </c>
      <c r="E15" s="49">
        <f>VLOOKUP(C15,A!C$21:E$973,3,FALSE)</f>
        <v>77.33771738881912</v>
      </c>
      <c r="F15" s="3" t="s">
        <v>61</v>
      </c>
      <c r="G15" s="24" t="str">
        <f t="shared" si="4"/>
        <v>52691.525</v>
      </c>
      <c r="H15" s="10">
        <f t="shared" si="5"/>
        <v>-3789</v>
      </c>
      <c r="I15" s="50" t="s">
        <v>82</v>
      </c>
      <c r="J15" s="51" t="s">
        <v>83</v>
      </c>
      <c r="K15" s="50">
        <v>-3789</v>
      </c>
      <c r="L15" s="50" t="s">
        <v>84</v>
      </c>
      <c r="M15" s="51" t="s">
        <v>85</v>
      </c>
      <c r="N15" s="51"/>
      <c r="O15" s="52" t="s">
        <v>86</v>
      </c>
      <c r="P15" s="52" t="s">
        <v>87</v>
      </c>
    </row>
    <row r="16" spans="1:16" ht="12.75" customHeight="1" thickBot="1">
      <c r="A16" s="10" t="str">
        <f t="shared" si="0"/>
        <v> BBS 130 </v>
      </c>
      <c r="B16" s="3" t="str">
        <f t="shared" si="1"/>
        <v>I</v>
      </c>
      <c r="C16" s="10">
        <f t="shared" si="2"/>
        <v>52965.602</v>
      </c>
      <c r="D16" s="24" t="str">
        <f t="shared" si="3"/>
        <v>vis</v>
      </c>
      <c r="E16" s="49">
        <f>VLOOKUP(C16,A!C$21:E$973,3,FALSE)</f>
        <v>391.3365259033547</v>
      </c>
      <c r="F16" s="3" t="s">
        <v>61</v>
      </c>
      <c r="G16" s="24" t="str">
        <f t="shared" si="4"/>
        <v>52965.602</v>
      </c>
      <c r="H16" s="10">
        <f t="shared" si="5"/>
        <v>-3475</v>
      </c>
      <c r="I16" s="50" t="s">
        <v>88</v>
      </c>
      <c r="J16" s="51" t="s">
        <v>89</v>
      </c>
      <c r="K16" s="50">
        <v>-3475</v>
      </c>
      <c r="L16" s="50" t="s">
        <v>90</v>
      </c>
      <c r="M16" s="51" t="s">
        <v>85</v>
      </c>
      <c r="N16" s="51"/>
      <c r="O16" s="52" t="s">
        <v>86</v>
      </c>
      <c r="P16" s="52" t="s">
        <v>91</v>
      </c>
    </row>
    <row r="17" spans="1:16" ht="12.75" customHeight="1" thickBot="1">
      <c r="A17" s="10" t="str">
        <f t="shared" si="0"/>
        <v>OEJV 0003 </v>
      </c>
      <c r="B17" s="3" t="str">
        <f t="shared" si="1"/>
        <v>I</v>
      </c>
      <c r="C17" s="10">
        <f t="shared" si="2"/>
        <v>53384.547</v>
      </c>
      <c r="D17" s="24" t="str">
        <f t="shared" si="3"/>
        <v>vis</v>
      </c>
      <c r="E17" s="49">
        <f>VLOOKUP(C17,A!C$21:E$973,3,FALSE)</f>
        <v>871.3046765804389</v>
      </c>
      <c r="F17" s="3" t="s">
        <v>61</v>
      </c>
      <c r="G17" s="24" t="str">
        <f t="shared" si="4"/>
        <v>53384.547</v>
      </c>
      <c r="H17" s="10">
        <f t="shared" si="5"/>
        <v>-2995</v>
      </c>
      <c r="I17" s="50" t="s">
        <v>92</v>
      </c>
      <c r="J17" s="51" t="s">
        <v>93</v>
      </c>
      <c r="K17" s="50">
        <v>-2995</v>
      </c>
      <c r="L17" s="50" t="s">
        <v>94</v>
      </c>
      <c r="M17" s="51" t="s">
        <v>85</v>
      </c>
      <c r="N17" s="51"/>
      <c r="O17" s="52" t="s">
        <v>86</v>
      </c>
      <c r="P17" s="53" t="s">
        <v>95</v>
      </c>
    </row>
    <row r="18" spans="1:16" ht="12.75" customHeight="1" thickBot="1">
      <c r="A18" s="10" t="str">
        <f t="shared" si="0"/>
        <v>BAVM 173 </v>
      </c>
      <c r="B18" s="3" t="str">
        <f t="shared" si="1"/>
        <v>I</v>
      </c>
      <c r="C18" s="10">
        <f t="shared" si="2"/>
        <v>53461.3722</v>
      </c>
      <c r="D18" s="24" t="str">
        <f t="shared" si="3"/>
        <v>vis</v>
      </c>
      <c r="E18" s="49">
        <f>VLOOKUP(C18,A!C$21:E$973,3,FALSE)</f>
        <v>959.3201658914387</v>
      </c>
      <c r="F18" s="3" t="s">
        <v>61</v>
      </c>
      <c r="G18" s="24" t="str">
        <f t="shared" si="4"/>
        <v>53461.3722</v>
      </c>
      <c r="H18" s="10">
        <f t="shared" si="5"/>
        <v>-2907</v>
      </c>
      <c r="I18" s="50" t="s">
        <v>96</v>
      </c>
      <c r="J18" s="51" t="s">
        <v>97</v>
      </c>
      <c r="K18" s="50">
        <v>-2907</v>
      </c>
      <c r="L18" s="50" t="s">
        <v>98</v>
      </c>
      <c r="M18" s="51" t="s">
        <v>66</v>
      </c>
      <c r="N18" s="51" t="s">
        <v>99</v>
      </c>
      <c r="O18" s="52" t="s">
        <v>100</v>
      </c>
      <c r="P18" s="53" t="s">
        <v>101</v>
      </c>
    </row>
    <row r="19" spans="1:16" ht="12.75" customHeight="1" thickBot="1">
      <c r="A19" s="10" t="str">
        <f t="shared" si="0"/>
        <v>BAVM 186 </v>
      </c>
      <c r="B19" s="3" t="str">
        <f t="shared" si="1"/>
        <v>I</v>
      </c>
      <c r="C19" s="10">
        <f t="shared" si="2"/>
        <v>54202.4113</v>
      </c>
      <c r="D19" s="24" t="str">
        <f t="shared" si="3"/>
        <v>vis</v>
      </c>
      <c r="E19" s="49">
        <f>VLOOKUP(C19,A!C$21:E$973,3,FALSE)</f>
        <v>1808.298352542221</v>
      </c>
      <c r="F19" s="3" t="s">
        <v>61</v>
      </c>
      <c r="G19" s="24" t="str">
        <f t="shared" si="4"/>
        <v>54202.4113</v>
      </c>
      <c r="H19" s="10">
        <f t="shared" si="5"/>
        <v>-2058</v>
      </c>
      <c r="I19" s="50" t="s">
        <v>102</v>
      </c>
      <c r="J19" s="51" t="s">
        <v>103</v>
      </c>
      <c r="K19" s="50">
        <v>-2058</v>
      </c>
      <c r="L19" s="50" t="s">
        <v>104</v>
      </c>
      <c r="M19" s="51" t="s">
        <v>105</v>
      </c>
      <c r="N19" s="51" t="s">
        <v>106</v>
      </c>
      <c r="O19" s="52" t="s">
        <v>107</v>
      </c>
      <c r="P19" s="53" t="s">
        <v>108</v>
      </c>
    </row>
    <row r="20" spans="1:16" ht="12.75" customHeight="1" thickBot="1">
      <c r="A20" s="10" t="str">
        <f t="shared" si="0"/>
        <v>IBVS 5871 </v>
      </c>
      <c r="B20" s="3" t="str">
        <f t="shared" si="1"/>
        <v>I</v>
      </c>
      <c r="C20" s="10">
        <f t="shared" si="2"/>
        <v>54830.856</v>
      </c>
      <c r="D20" s="24" t="str">
        <f t="shared" si="3"/>
        <v>vis</v>
      </c>
      <c r="E20" s="49">
        <f>VLOOKUP(C20,A!C$21:E$973,3,FALSE)</f>
        <v>2528.281740485305</v>
      </c>
      <c r="F20" s="3" t="s">
        <v>61</v>
      </c>
      <c r="G20" s="24" t="str">
        <f t="shared" si="4"/>
        <v>54830.8560</v>
      </c>
      <c r="H20" s="10">
        <f t="shared" si="5"/>
        <v>-1338</v>
      </c>
      <c r="I20" s="50" t="s">
        <v>109</v>
      </c>
      <c r="J20" s="51" t="s">
        <v>110</v>
      </c>
      <c r="K20" s="50" t="s">
        <v>111</v>
      </c>
      <c r="L20" s="50" t="s">
        <v>112</v>
      </c>
      <c r="M20" s="51" t="s">
        <v>105</v>
      </c>
      <c r="N20" s="51" t="s">
        <v>61</v>
      </c>
      <c r="O20" s="52" t="s">
        <v>113</v>
      </c>
      <c r="P20" s="53" t="s">
        <v>114</v>
      </c>
    </row>
    <row r="21" spans="1:16" ht="12.75" customHeight="1" thickBot="1">
      <c r="A21" s="10" t="str">
        <f t="shared" si="0"/>
        <v>IBVS 5992 </v>
      </c>
      <c r="B21" s="3" t="str">
        <f t="shared" si="1"/>
        <v>I</v>
      </c>
      <c r="C21" s="10">
        <f t="shared" si="2"/>
        <v>55564.9178</v>
      </c>
      <c r="D21" s="24" t="str">
        <f t="shared" si="3"/>
        <v>vis</v>
      </c>
      <c r="E21" s="49">
        <f>VLOOKUP(C21,A!C$21:E$973,3,FALSE)</f>
        <v>3369.2663199138537</v>
      </c>
      <c r="F21" s="3" t="s">
        <v>61</v>
      </c>
      <c r="G21" s="24" t="str">
        <f t="shared" si="4"/>
        <v>55564.9178</v>
      </c>
      <c r="H21" s="10">
        <f t="shared" si="5"/>
        <v>-497</v>
      </c>
      <c r="I21" s="50" t="s">
        <v>115</v>
      </c>
      <c r="J21" s="51" t="s">
        <v>116</v>
      </c>
      <c r="K21" s="50" t="s">
        <v>117</v>
      </c>
      <c r="L21" s="50" t="s">
        <v>118</v>
      </c>
      <c r="M21" s="51" t="s">
        <v>105</v>
      </c>
      <c r="N21" s="51" t="s">
        <v>61</v>
      </c>
      <c r="O21" s="52" t="s">
        <v>113</v>
      </c>
      <c r="P21" s="53" t="s">
        <v>119</v>
      </c>
    </row>
    <row r="22" spans="1:16" ht="12.75" customHeight="1" thickBot="1">
      <c r="A22" s="10" t="str">
        <f t="shared" si="0"/>
        <v>IBVS 6029 </v>
      </c>
      <c r="B22" s="3" t="str">
        <f t="shared" si="1"/>
        <v>I</v>
      </c>
      <c r="C22" s="10">
        <f t="shared" si="2"/>
        <v>55998.7181</v>
      </c>
      <c r="D22" s="24" t="str">
        <f t="shared" si="3"/>
        <v>vis</v>
      </c>
      <c r="E22" s="49">
        <f>VLOOKUP(C22,A!C$21:E$973,3,FALSE)</f>
        <v>3866.253580184682</v>
      </c>
      <c r="F22" s="3" t="s">
        <v>61</v>
      </c>
      <c r="G22" s="24" t="str">
        <f t="shared" si="4"/>
        <v>55998.7181</v>
      </c>
      <c r="H22" s="10">
        <f t="shared" si="5"/>
        <v>0</v>
      </c>
      <c r="I22" s="50" t="s">
        <v>120</v>
      </c>
      <c r="J22" s="51" t="s">
        <v>121</v>
      </c>
      <c r="K22" s="50" t="s">
        <v>122</v>
      </c>
      <c r="L22" s="50" t="s">
        <v>98</v>
      </c>
      <c r="M22" s="51" t="s">
        <v>105</v>
      </c>
      <c r="N22" s="51" t="s">
        <v>61</v>
      </c>
      <c r="O22" s="52" t="s">
        <v>113</v>
      </c>
      <c r="P22" s="53" t="s">
        <v>123</v>
      </c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</sheetData>
  <sheetProtection/>
  <hyperlinks>
    <hyperlink ref="P11" r:id="rId1" display="http://www.konkoly.hu/cgi-bin/IBVS?5337"/>
    <hyperlink ref="P12" r:id="rId2" display="http://www.konkoly.hu/cgi-bin/IBVS?5337"/>
    <hyperlink ref="P13" r:id="rId3" display="http://www.konkoly.hu/cgi-bin/IBVS?5337"/>
    <hyperlink ref="P14" r:id="rId4" display="http://www.konkoly.hu/cgi-bin/IBVS?5337"/>
    <hyperlink ref="P17" r:id="rId5" display="http://var.astro.cz/oejv/issues/oejv0003.pdf"/>
    <hyperlink ref="P18" r:id="rId6" display="http://www.bav-astro.de/sfs/BAVM_link.php?BAVMnr=173"/>
    <hyperlink ref="P19" r:id="rId7" display="http://www.bav-astro.de/sfs/BAVM_link.php?BAVMnr=186"/>
    <hyperlink ref="P20" r:id="rId8" display="http://www.konkoly.hu/cgi-bin/IBVS?5871"/>
    <hyperlink ref="P21" r:id="rId9" display="http://www.konkoly.hu/cgi-bin/IBVS?5992"/>
    <hyperlink ref="P22" r:id="rId10" display="http://www.konkoly.hu/cgi-bin/IBVS?602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