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2760" windowWidth="8880" windowHeight="1321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<sst xmlns="http://schemas.openxmlformats.org/spreadsheetml/2006/main" count="176" uniqueCount="109">
  <si>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</si>
  <si>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</si>
  <si>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</si>
  <si>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</si>
  <si>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</si>
  <si>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</si>
  <si>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</si>
  <si>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</si>
  <si>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</si>
  <si>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</si>
  <si>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</si>
  <si>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</si>
  <si>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</si>
  <si>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</si>
  <si>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</si>
  <si>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</si>
  <si>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</si>
  <si>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</si>
  <si>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</si>
  <si>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Linear</t>
  </si>
  <si>
    <t>Quadratic</t>
  </si>
  <si>
    <t>Q. Fit</t>
  </si>
  <si>
    <t>Lin Fit</t>
  </si>
  <si>
    <t>System Type:</t>
  </si>
  <si>
    <t>S4</t>
  </si>
  <si>
    <t>S5</t>
  </si>
  <si>
    <t>Vandebroere J</t>
  </si>
  <si>
    <t>BBSAG Bull.112</t>
  </si>
  <si>
    <t>B</t>
  </si>
  <si>
    <t>Krobusek B</t>
  </si>
  <si>
    <t>BBSAG Bull.114</t>
  </si>
  <si>
    <t>II</t>
  </si>
  <si>
    <t>Note:  correct coordinates should be (J2000) 09 00 41 +18 55 23 - see IBVS 4632</t>
  </si>
  <si>
    <t>ROTSE</t>
  </si>
  <si>
    <t>I?</t>
  </si>
  <si>
    <t>P.Kulikowski, PZ 4.297</t>
  </si>
  <si>
    <t>W.Zessewitsch, IODE 4.1.145</t>
  </si>
  <si>
    <t>Misc</t>
  </si>
  <si>
    <t>EW/DW</t>
  </si>
  <si>
    <t>VY Cnc / GSC 01397-01380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</si>
  <si>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</si>
  <si>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</si>
  <si>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</si>
  <si>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</si>
  <si>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</si>
  <si>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</si>
  <si>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</si>
  <si>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</si>
  <si>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</si>
  <si>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</si>
  <si>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</si>
  <si>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2419512.38 </t>
  </si>
  <si>
    <t> 19.04.1912 21:07 </t>
  </si>
  <si>
    <t> 0.00 </t>
  </si>
  <si>
    <t>P </t>
  </si>
  <si>
    <t> P.Kulikowski </t>
  </si>
  <si>
    <t> PZ 4.297 </t>
  </si>
  <si>
    <t>2420922.38 </t>
  </si>
  <si>
    <t> 28.02.1916 21:07 </t>
  </si>
  <si>
    <t>2425348.27 </t>
  </si>
  <si>
    <t> 11.04.1928 18:28 </t>
  </si>
  <si>
    <t> -0.11 </t>
  </si>
  <si>
    <t>2425701.30 </t>
  </si>
  <si>
    <t> 30.03.1929 19:12 </t>
  </si>
  <si>
    <t> -0.08 </t>
  </si>
  <si>
    <t>2431163.29 </t>
  </si>
  <si>
    <t> 13.03.1944 18:57 </t>
  </si>
  <si>
    <t> -0.09 </t>
  </si>
  <si>
    <t>V </t>
  </si>
  <si>
    <t> W.Zessewitsch </t>
  </si>
  <si>
    <t> IODE 4.1.145 </t>
  </si>
  <si>
    <t>2431164.39 </t>
  </si>
  <si>
    <t> 14.03.1944 21:21 </t>
  </si>
  <si>
    <t> 0.01 </t>
  </si>
  <si>
    <t>2431169.37 </t>
  </si>
  <si>
    <t> 19.03.1944 20:52 </t>
  </si>
  <si>
    <t> -0.01 </t>
  </si>
  <si>
    <t>2431176.27 </t>
  </si>
  <si>
    <t> 26.03.1944 18:28 </t>
  </si>
  <si>
    <t>2431194.25 </t>
  </si>
  <si>
    <t> 13.04.1944 18:00 </t>
  </si>
  <si>
    <t> -0.13 </t>
  </si>
  <si>
    <t>2431235.23 </t>
  </si>
  <si>
    <t> 24.05.1944 17:31 </t>
  </si>
  <si>
    <t> -0.15 </t>
  </si>
  <si>
    <t>2449780.453 </t>
  </si>
  <si>
    <t> 03.03.1995 22:52 </t>
  </si>
  <si>
    <t> -0.427 </t>
  </si>
  <si>
    <t> J.Vandenbroere </t>
  </si>
  <si>
    <t> BBS 112 </t>
  </si>
  <si>
    <t>2450153.475 </t>
  </si>
  <si>
    <t> 10.03.1996 23:24 </t>
  </si>
  <si>
    <t> -0.405 </t>
  </si>
  <si>
    <t>2450515.562 </t>
  </si>
  <si>
    <t> 08.03.1997 01:29 </t>
  </si>
  <si>
    <t> -0.318 </t>
  </si>
  <si>
    <t>E </t>
  </si>
  <si>
    <t>?</t>
  </si>
  <si>
    <t> B.Krobusek </t>
  </si>
  <si>
    <t> BBS 114 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</si>
  <si>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</si>
  <si>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</si>
  <si>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</si>
  <si>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</si>
  <si>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</si>
  <si>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</si>
  <si>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</si>
  <si>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</si>
  <si>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# of data points: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</si>
</sst>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VY Cnc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475"/>
          <c:w val="0.90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A!$F$21:$F$980</c:f>
              <c:numCache/>
            </c:numRef>
          </c:xVal>
          <c:yVal>
            <c:numRef>
              <c:f>A!$H$21:$H$980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A!$D$21:$D$31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minus>
              <c:numRef>
                <c:f>A!$D$21:$D$31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33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A!$I$21:$I$980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A!$D$21:$D$31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minus>
              <c:numRef>
                <c:f>A!$D$21:$D$31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A!$J$21:$J$980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0.009</c:v>
                  </c:pt>
                  <c:pt idx="12">
                    <c:v>0.009</c:v>
                  </c:pt>
                  <c:pt idx="13">
                    <c:v>0.003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0.009</c:v>
                  </c:pt>
                  <c:pt idx="12">
                    <c:v>0.009</c:v>
                  </c:pt>
                  <c:pt idx="13">
                    <c:v>0.003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A!$K$21:$K$980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0.009</c:v>
                  </c:pt>
                  <c:pt idx="12">
                    <c:v>0.009</c:v>
                  </c:pt>
                  <c:pt idx="13">
                    <c:v>0.003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0.009</c:v>
                  </c:pt>
                  <c:pt idx="12">
                    <c:v>0.009</c:v>
                  </c:pt>
                  <c:pt idx="13">
                    <c:v>0.003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A!$L$21:$L$980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0.009</c:v>
                  </c:pt>
                  <c:pt idx="12">
                    <c:v>0.009</c:v>
                  </c:pt>
                  <c:pt idx="13">
                    <c:v>0.003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0.009</c:v>
                  </c:pt>
                  <c:pt idx="12">
                    <c:v>0.009</c:v>
                  </c:pt>
                  <c:pt idx="13">
                    <c:v>0.003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A!$M$21:$M$980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0.009</c:v>
                  </c:pt>
                  <c:pt idx="12">
                    <c:v>0.009</c:v>
                  </c:pt>
                  <c:pt idx="13">
                    <c:v>0.003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plus>
            <c:minus>
              <c:numRef>
                <c:f>A!$D$21:$D$80</c:f>
                <c:numCache>
                  <c:ptCount val="6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0.009</c:v>
                  </c:pt>
                  <c:pt idx="12">
                    <c:v>0.009</c:v>
                  </c:pt>
                  <c:pt idx="13">
                    <c:v>0.003</c:v>
                  </c:pt>
                  <c:pt idx="14">
                    <c:v>0.003</c:v>
                  </c:pt>
                  <c:pt idx="15">
                    <c:v>0.005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A!$F$21:$F$980</c:f>
              <c:numCache/>
            </c:numRef>
          </c:xVal>
          <c:yVal>
            <c:numRef>
              <c:f>A!$N$21:$N$980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A!$F$21:$F$980</c:f>
              <c:numCache/>
            </c:numRef>
          </c:xVal>
          <c:yVal>
            <c:numRef>
              <c:f>A!$O$21:$O$980</c:f>
              <c:numCache/>
            </c:numRef>
          </c:yVal>
          <c:smooth val="0"/>
        </c:ser>
        <c:axId val="56048090"/>
        <c:axId val="34670763"/>
      </c:scatterChart>
      <c:valAx>
        <c:axId val="5604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crossBetween val="midCat"/>
        <c:dispUnits/>
      </c:valAx>
      <c:valAx>
        <c:axId val="34670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0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"/>
          <c:y val="0.9295"/>
          <c:w val="0.703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228600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86275" y="0"/>
        <a:ext cx="5762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23</v>
      </c>
      <c r="B2" s="13" t="s">
        <v>38</v>
      </c>
      <c r="D2" s="11" t="s">
        <v>32</v>
      </c>
    </row>
    <row r="3" ht="13.5" thickBot="1"/>
    <row r="4" spans="1:4" ht="12.75">
      <c r="A4" s="8" t="s">
        <v>0</v>
      </c>
      <c r="C4" s="3">
        <v>31163.318</v>
      </c>
      <c r="D4" s="4">
        <v>0.71942</v>
      </c>
    </row>
    <row r="5" spans="1:4" ht="12.75">
      <c r="A5" s="29" t="s">
        <v>100</v>
      </c>
      <c r="B5" s="12"/>
      <c r="C5" s="30">
        <v>-9.5</v>
      </c>
      <c r="D5" s="12" t="s">
        <v>101</v>
      </c>
    </row>
    <row r="6" ht="12.75">
      <c r="A6" s="8" t="s">
        <v>1</v>
      </c>
    </row>
    <row r="7" spans="1:3" ht="12.75">
      <c r="A7" t="s">
        <v>2</v>
      </c>
      <c r="C7">
        <f>+C4</f>
        <v>31163.318</v>
      </c>
    </row>
    <row r="8" spans="1:3" ht="12.75">
      <c r="A8" t="s">
        <v>3</v>
      </c>
      <c r="C8">
        <f>+D4</f>
        <v>0.71942</v>
      </c>
    </row>
    <row r="9" spans="1:4" ht="12.75">
      <c r="A9" s="31" t="s">
        <v>102</v>
      </c>
      <c r="B9" s="32">
        <v>21</v>
      </c>
      <c r="C9" s="33" t="str">
        <f>"F"&amp;B9</f>
        <v>F21</v>
      </c>
      <c r="D9" s="34" t="str">
        <f>"G"&amp;B9</f>
        <v>G21</v>
      </c>
    </row>
    <row r="10" spans="3:4" ht="13.5" thickBot="1">
      <c r="C10" s="7" t="s">
        <v>19</v>
      </c>
      <c r="D10" s="7" t="s">
        <v>20</v>
      </c>
    </row>
    <row r="11" spans="1:4" ht="12.75">
      <c r="A11" t="s">
        <v>16</v>
      </c>
      <c r="C11" s="35">
        <f ca="1">INTERCEPT(INDIRECT($D$9):G965,INDIRECT($C$9):F965)</f>
        <v>0.0115643059790754</v>
      </c>
      <c r="D11" s="6"/>
    </row>
    <row r="12" spans="1:4" ht="12.75">
      <c r="A12" t="s">
        <v>17</v>
      </c>
      <c r="C12" s="35">
        <f ca="1">SLOPE(INDIRECT($D$9):G965,INDIRECT($C$9):F965)</f>
        <v>-1.4468542243475802E-06</v>
      </c>
      <c r="D12" s="6"/>
    </row>
    <row r="13" spans="3:4" ht="12.75">
      <c r="C13" s="6"/>
      <c r="D13" s="6"/>
    </row>
    <row r="15" spans="1:6" ht="12.75">
      <c r="A15" s="5" t="s">
        <v>18</v>
      </c>
      <c r="C15" s="14">
        <f>(C7+C11)+(C8+C12)*INT(MAX(F21:F3520))</f>
        <v>51502.73089884335</v>
      </c>
      <c r="D15">
        <v>50153.475</v>
      </c>
      <c r="E15" s="36" t="s">
        <v>103</v>
      </c>
      <c r="F15" s="30">
        <v>1</v>
      </c>
    </row>
    <row r="16" spans="1:6" ht="12.75">
      <c r="A16" s="8" t="s">
        <v>4</v>
      </c>
      <c r="C16" s="15">
        <f>+C8+C12</f>
        <v>0.7194185531457756</v>
      </c>
      <c r="E16" s="36" t="s">
        <v>104</v>
      </c>
      <c r="F16" s="37">
        <f ca="1">NOW()+15018.5+$C$5/24</f>
        <v>59896.58728865741</v>
      </c>
    </row>
    <row r="17" spans="1:6" ht="13.5" thickBot="1">
      <c r="A17" s="36" t="s">
        <v>108</v>
      </c>
      <c r="B17" s="12"/>
      <c r="C17" s="12">
        <f>COUNT(C21:C2177)</f>
        <v>17</v>
      </c>
      <c r="E17" s="36" t="s">
        <v>105</v>
      </c>
      <c r="F17" s="37">
        <f>ROUND(2*(F16-$C$7)/$C$8,0)/2+F15</f>
        <v>39940.5</v>
      </c>
    </row>
    <row r="18" spans="1:6" ht="12.75">
      <c r="A18" s="8" t="s">
        <v>5</v>
      </c>
      <c r="C18" s="3">
        <f>+C15</f>
        <v>51502.73089884335</v>
      </c>
      <c r="D18" s="4">
        <f>+C16</f>
        <v>0.7194185531457756</v>
      </c>
      <c r="E18" s="36" t="s">
        <v>106</v>
      </c>
      <c r="F18" s="34">
        <f>ROUND(2*(F16-$C$15)/$C$16,0)/2+F15</f>
        <v>11668.5</v>
      </c>
    </row>
    <row r="19" spans="5:6" ht="13.5" thickTop="1">
      <c r="E19" s="36" t="s">
        <v>107</v>
      </c>
      <c r="F19" s="38">
        <f>+$C$15+$C$16*F18-15018.5-$C$5/24</f>
        <v>44879.16211955817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47</v>
      </c>
      <c r="I20" s="10" t="s">
        <v>50</v>
      </c>
      <c r="J20" s="10" t="s">
        <v>44</v>
      </c>
      <c r="K20" s="10" t="s">
        <v>42</v>
      </c>
      <c r="L20" s="10" t="s">
        <v>24</v>
      </c>
      <c r="M20" s="10" t="s">
        <v>25</v>
      </c>
      <c r="N20" s="10" t="s">
        <v>37</v>
      </c>
      <c r="O20" s="10" t="s">
        <v>22</v>
      </c>
      <c r="P20" s="9" t="s">
        <v>21</v>
      </c>
      <c r="Q20" s="7" t="s">
        <v>15</v>
      </c>
    </row>
    <row r="21" spans="1:17" ht="12.75">
      <c r="A21" s="12" t="s">
        <v>35</v>
      </c>
      <c r="C21" s="39">
        <v>19512.38</v>
      </c>
      <c r="D21" s="17"/>
      <c r="E21">
        <f aca="true" t="shared" si="0" ref="E21:E37">+(C21-C$7)/C$8</f>
        <v>-16194.904228406214</v>
      </c>
      <c r="F21">
        <f aca="true" t="shared" si="1" ref="F21:F37">ROUND(2*E21,0)/2</f>
        <v>-16195</v>
      </c>
      <c r="G21">
        <f aca="true" t="shared" si="2" ref="G21:G37">+C21-(C$7+F21*C$8)</f>
        <v>0.06890000000203145</v>
      </c>
      <c r="H21">
        <f>G21</f>
        <v>0.06890000000203145</v>
      </c>
      <c r="O21">
        <f aca="true" t="shared" si="3" ref="O21:O37">+C$11+C$12*F21</f>
        <v>0.03499611014238446</v>
      </c>
      <c r="Q21" s="2">
        <f aca="true" t="shared" si="4" ref="Q21:Q37">+C21-15018.5</f>
        <v>4493.880000000001</v>
      </c>
    </row>
    <row r="22" spans="1:17" ht="12.75">
      <c r="A22" s="12" t="s">
        <v>35</v>
      </c>
      <c r="C22" s="39">
        <v>20922.38</v>
      </c>
      <c r="D22" s="17"/>
      <c r="E22">
        <f t="shared" si="0"/>
        <v>-14234.992076950875</v>
      </c>
      <c r="F22">
        <f t="shared" si="1"/>
        <v>-14235</v>
      </c>
      <c r="G22">
        <f t="shared" si="2"/>
        <v>0.005700000001525041</v>
      </c>
      <c r="H22">
        <f>G22</f>
        <v>0.005700000001525041</v>
      </c>
      <c r="O22">
        <f t="shared" si="3"/>
        <v>0.03216027586266321</v>
      </c>
      <c r="Q22" s="2">
        <f t="shared" si="4"/>
        <v>5903.880000000001</v>
      </c>
    </row>
    <row r="23" spans="1:17" ht="12.75">
      <c r="A23" s="12" t="s">
        <v>35</v>
      </c>
      <c r="C23" s="39">
        <v>25348.27</v>
      </c>
      <c r="D23" s="17"/>
      <c r="E23">
        <f t="shared" si="0"/>
        <v>-8082.966834394372</v>
      </c>
      <c r="F23">
        <f t="shared" si="1"/>
        <v>-8083</v>
      </c>
      <c r="G23">
        <f t="shared" si="2"/>
        <v>0.023860000001150183</v>
      </c>
      <c r="H23">
        <f>G23</f>
        <v>0.023860000001150183</v>
      </c>
      <c r="O23">
        <f t="shared" si="3"/>
        <v>0.02325922867447689</v>
      </c>
      <c r="Q23" s="2">
        <f t="shared" si="4"/>
        <v>10329.77</v>
      </c>
    </row>
    <row r="24" spans="1:17" ht="12.75">
      <c r="A24" s="12" t="s">
        <v>35</v>
      </c>
      <c r="C24" s="39">
        <v>25701.3</v>
      </c>
      <c r="D24" s="17"/>
      <c r="E24">
        <f t="shared" si="0"/>
        <v>-7592.252091962971</v>
      </c>
      <c r="F24">
        <f t="shared" si="1"/>
        <v>-7592.5</v>
      </c>
      <c r="G24">
        <f t="shared" si="2"/>
        <v>0.1783499999983178</v>
      </c>
      <c r="H24">
        <f>G24</f>
        <v>0.1783499999983178</v>
      </c>
      <c r="O24">
        <f t="shared" si="3"/>
        <v>0.022549546677434404</v>
      </c>
      <c r="Q24" s="2">
        <f t="shared" si="4"/>
        <v>10682.8</v>
      </c>
    </row>
    <row r="25" spans="1:17" ht="12.75">
      <c r="A25" s="12" t="s">
        <v>36</v>
      </c>
      <c r="C25" s="39">
        <v>31163.29</v>
      </c>
      <c r="D25" s="17"/>
      <c r="E25">
        <f t="shared" si="0"/>
        <v>-0.03892024130331155</v>
      </c>
      <c r="F25">
        <f t="shared" si="1"/>
        <v>0</v>
      </c>
      <c r="G25">
        <f t="shared" si="2"/>
        <v>-0.027999999998428393</v>
      </c>
      <c r="H25">
        <f>G25</f>
        <v>-0.027999999998428393</v>
      </c>
      <c r="O25">
        <f t="shared" si="3"/>
        <v>0.0115643059790754</v>
      </c>
      <c r="Q25" s="2">
        <f t="shared" si="4"/>
        <v>16144.79</v>
      </c>
    </row>
    <row r="26" spans="1:17" ht="12.75">
      <c r="A26" t="s">
        <v>12</v>
      </c>
      <c r="B26" s="6"/>
      <c r="C26" s="17">
        <v>31163.318</v>
      </c>
      <c r="D26" s="17" t="s">
        <v>14</v>
      </c>
      <c r="E26">
        <f t="shared" si="0"/>
        <v>0</v>
      </c>
      <c r="F26">
        <f t="shared" si="1"/>
        <v>0</v>
      </c>
      <c r="G26">
        <f t="shared" si="2"/>
        <v>0</v>
      </c>
      <c r="H26">
        <f>+G26</f>
        <v>0</v>
      </c>
      <c r="O26">
        <f t="shared" si="3"/>
        <v>0.0115643059790754</v>
      </c>
      <c r="Q26" s="2">
        <f t="shared" si="4"/>
        <v>16144.818</v>
      </c>
    </row>
    <row r="27" spans="1:17" ht="12.75">
      <c r="A27" s="12" t="s">
        <v>36</v>
      </c>
      <c r="C27" s="39">
        <v>31164.39</v>
      </c>
      <c r="D27" s="17"/>
      <c r="E27">
        <f t="shared" si="0"/>
        <v>1.490089238553441</v>
      </c>
      <c r="F27">
        <f t="shared" si="1"/>
        <v>1.5</v>
      </c>
      <c r="G27">
        <f t="shared" si="2"/>
        <v>-0.0071299999981420115</v>
      </c>
      <c r="H27">
        <f>G27</f>
        <v>-0.0071299999981420115</v>
      </c>
      <c r="O27">
        <f t="shared" si="3"/>
        <v>0.011562135697738878</v>
      </c>
      <c r="Q27" s="2">
        <f t="shared" si="4"/>
        <v>16145.89</v>
      </c>
    </row>
    <row r="28" spans="1:17" ht="12.75">
      <c r="A28" s="12" t="s">
        <v>36</v>
      </c>
      <c r="C28" s="39">
        <v>31169.37</v>
      </c>
      <c r="D28" s="17"/>
      <c r="E28">
        <f t="shared" si="0"/>
        <v>8.412332156458925</v>
      </c>
      <c r="F28">
        <f t="shared" si="1"/>
        <v>8.5</v>
      </c>
      <c r="G28">
        <f t="shared" si="2"/>
        <v>-0.0630700000001525</v>
      </c>
      <c r="H28">
        <f>G28</f>
        <v>-0.0630700000001525</v>
      </c>
      <c r="O28">
        <f t="shared" si="3"/>
        <v>0.011552007718168444</v>
      </c>
      <c r="Q28" s="2">
        <f t="shared" si="4"/>
        <v>16150.869999999999</v>
      </c>
    </row>
    <row r="29" spans="1:17" ht="12.75">
      <c r="A29" s="12" t="s">
        <v>36</v>
      </c>
      <c r="C29" s="39">
        <v>31176.27</v>
      </c>
      <c r="D29" s="17"/>
      <c r="E29">
        <f t="shared" si="0"/>
        <v>18.00339162102963</v>
      </c>
      <c r="F29">
        <f t="shared" si="1"/>
        <v>18</v>
      </c>
      <c r="G29">
        <f t="shared" si="2"/>
        <v>0.002440000000206055</v>
      </c>
      <c r="H29">
        <f>G29</f>
        <v>0.002440000000206055</v>
      </c>
      <c r="O29">
        <f t="shared" si="3"/>
        <v>0.011538262603037143</v>
      </c>
      <c r="Q29" s="2">
        <f t="shared" si="4"/>
        <v>16157.77</v>
      </c>
    </row>
    <row r="30" spans="1:17" ht="12.75">
      <c r="A30" s="12" t="s">
        <v>36</v>
      </c>
      <c r="C30" s="39">
        <v>31194.25</v>
      </c>
      <c r="D30" s="17"/>
      <c r="E30">
        <f t="shared" si="0"/>
        <v>42.99574657362973</v>
      </c>
      <c r="F30">
        <f t="shared" si="1"/>
        <v>43</v>
      </c>
      <c r="G30">
        <f t="shared" si="2"/>
        <v>-0.003059999999095453</v>
      </c>
      <c r="H30">
        <f>G30</f>
        <v>-0.003059999999095453</v>
      </c>
      <c r="O30">
        <f t="shared" si="3"/>
        <v>0.011502091247428453</v>
      </c>
      <c r="Q30" s="2">
        <f t="shared" si="4"/>
        <v>16175.75</v>
      </c>
    </row>
    <row r="31" spans="1:17" ht="12.75">
      <c r="A31" s="12" t="s">
        <v>36</v>
      </c>
      <c r="C31" s="39">
        <v>31235.23</v>
      </c>
      <c r="D31" s="17"/>
      <c r="E31">
        <f t="shared" si="0"/>
        <v>99.95829974145877</v>
      </c>
      <c r="F31">
        <f t="shared" si="1"/>
        <v>100</v>
      </c>
      <c r="G31">
        <f t="shared" si="2"/>
        <v>-0.029999999998835847</v>
      </c>
      <c r="H31">
        <f>G31</f>
        <v>-0.029999999998835847</v>
      </c>
      <c r="O31">
        <f t="shared" si="3"/>
        <v>0.011419620556640642</v>
      </c>
      <c r="Q31" s="2">
        <f t="shared" si="4"/>
        <v>16216.73</v>
      </c>
    </row>
    <row r="32" spans="1:31" ht="12.75">
      <c r="A32" t="s">
        <v>27</v>
      </c>
      <c r="B32" s="6"/>
      <c r="C32" s="17">
        <v>49780.453</v>
      </c>
      <c r="D32" s="17">
        <v>0.009</v>
      </c>
      <c r="E32">
        <f t="shared" si="0"/>
        <v>25877.978093464186</v>
      </c>
      <c r="F32">
        <f t="shared" si="1"/>
        <v>25878</v>
      </c>
      <c r="G32">
        <f t="shared" si="2"/>
        <v>-0.01576000000204658</v>
      </c>
      <c r="I32">
        <f>G32</f>
        <v>-0.01576000000204658</v>
      </c>
      <c r="O32">
        <f t="shared" si="3"/>
        <v>-0.02587738763859128</v>
      </c>
      <c r="Q32" s="2">
        <f t="shared" si="4"/>
        <v>34761.953</v>
      </c>
      <c r="AA32">
        <v>13</v>
      </c>
      <c r="AC32" t="s">
        <v>26</v>
      </c>
      <c r="AE32" t="s">
        <v>28</v>
      </c>
    </row>
    <row r="33" spans="1:31" ht="12.75">
      <c r="A33" t="s">
        <v>27</v>
      </c>
      <c r="B33" s="6"/>
      <c r="C33" s="17">
        <v>49780.453</v>
      </c>
      <c r="D33" s="17">
        <v>0.009</v>
      </c>
      <c r="E33">
        <f t="shared" si="0"/>
        <v>25877.978093464186</v>
      </c>
      <c r="F33">
        <f t="shared" si="1"/>
        <v>25878</v>
      </c>
      <c r="G33">
        <f t="shared" si="2"/>
        <v>-0.01576000000204658</v>
      </c>
      <c r="I33">
        <f>G33</f>
        <v>-0.01576000000204658</v>
      </c>
      <c r="O33">
        <f t="shared" si="3"/>
        <v>-0.02587738763859128</v>
      </c>
      <c r="Q33" s="2">
        <f t="shared" si="4"/>
        <v>34761.953</v>
      </c>
      <c r="AA33">
        <v>13</v>
      </c>
      <c r="AC33" t="s">
        <v>26</v>
      </c>
      <c r="AE33" t="s">
        <v>28</v>
      </c>
    </row>
    <row r="34" spans="1:31" ht="12.75">
      <c r="A34" t="s">
        <v>27</v>
      </c>
      <c r="B34" s="6" t="s">
        <v>31</v>
      </c>
      <c r="C34" s="17">
        <v>50153.475</v>
      </c>
      <c r="D34" s="17">
        <v>0.003</v>
      </c>
      <c r="E34">
        <f t="shared" si="0"/>
        <v>26396.481888187707</v>
      </c>
      <c r="F34">
        <f t="shared" si="1"/>
        <v>26396.5</v>
      </c>
      <c r="G34">
        <f t="shared" si="2"/>
        <v>-0.013029999994614627</v>
      </c>
      <c r="I34">
        <f>G34</f>
        <v>-0.013029999994614627</v>
      </c>
      <c r="O34">
        <f t="shared" si="3"/>
        <v>-0.0266275815539155</v>
      </c>
      <c r="Q34" s="2">
        <f t="shared" si="4"/>
        <v>35134.975</v>
      </c>
      <c r="AA34">
        <v>13</v>
      </c>
      <c r="AC34" t="s">
        <v>26</v>
      </c>
      <c r="AE34" t="s">
        <v>28</v>
      </c>
    </row>
    <row r="35" spans="1:31" ht="12.75">
      <c r="A35" t="s">
        <v>27</v>
      </c>
      <c r="B35" s="6" t="s">
        <v>31</v>
      </c>
      <c r="C35" s="17">
        <v>50153.475</v>
      </c>
      <c r="D35" s="17">
        <v>0.003</v>
      </c>
      <c r="E35">
        <f t="shared" si="0"/>
        <v>26396.481888187707</v>
      </c>
      <c r="F35">
        <f t="shared" si="1"/>
        <v>26396.5</v>
      </c>
      <c r="G35">
        <f t="shared" si="2"/>
        <v>-0.013029999994614627</v>
      </c>
      <c r="I35">
        <f>G35</f>
        <v>-0.013029999994614627</v>
      </c>
      <c r="O35">
        <f t="shared" si="3"/>
        <v>-0.0266275815539155</v>
      </c>
      <c r="Q35" s="2">
        <f t="shared" si="4"/>
        <v>35134.975</v>
      </c>
      <c r="AA35">
        <v>13</v>
      </c>
      <c r="AC35" t="s">
        <v>26</v>
      </c>
      <c r="AE35" t="s">
        <v>28</v>
      </c>
    </row>
    <row r="36" spans="1:31" ht="12.75">
      <c r="A36" t="s">
        <v>30</v>
      </c>
      <c r="B36" s="6"/>
      <c r="C36" s="17">
        <v>50515.562</v>
      </c>
      <c r="D36" s="17">
        <v>0.005</v>
      </c>
      <c r="E36">
        <f t="shared" si="0"/>
        <v>26899.78593867282</v>
      </c>
      <c r="F36">
        <f t="shared" si="1"/>
        <v>26900</v>
      </c>
      <c r="G36">
        <f t="shared" si="2"/>
        <v>-0.1540000000022701</v>
      </c>
      <c r="I36">
        <f>G36</f>
        <v>-0.1540000000022701</v>
      </c>
      <c r="O36">
        <f t="shared" si="3"/>
        <v>-0.02735607265587451</v>
      </c>
      <c r="Q36" s="2">
        <f t="shared" si="4"/>
        <v>35497.062</v>
      </c>
      <c r="AA36">
        <v>9</v>
      </c>
      <c r="AC36" t="s">
        <v>29</v>
      </c>
      <c r="AE36" t="s">
        <v>28</v>
      </c>
    </row>
    <row r="37" spans="1:17" ht="12.75">
      <c r="A37" t="s">
        <v>33</v>
      </c>
      <c r="B37" s="6" t="s">
        <v>34</v>
      </c>
      <c r="C37" s="17">
        <v>51503.2155</v>
      </c>
      <c r="D37" s="17"/>
      <c r="E37">
        <f t="shared" si="0"/>
        <v>28272.632815323457</v>
      </c>
      <c r="F37">
        <f t="shared" si="1"/>
        <v>28272.5</v>
      </c>
      <c r="G37">
        <f t="shared" si="2"/>
        <v>0.09555000000545988</v>
      </c>
      <c r="J37">
        <f>G37</f>
        <v>0.09555000000545988</v>
      </c>
      <c r="O37">
        <f t="shared" si="3"/>
        <v>-0.029341880078791557</v>
      </c>
      <c r="Q37" s="2">
        <f t="shared" si="4"/>
        <v>36484.7155</v>
      </c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6"/>
  <sheetViews>
    <sheetView zoomScalePageLayoutView="0" workbookViewId="0" topLeftCell="A1">
      <selection activeCell="A11" sqref="A11:D23"/>
    </sheetView>
  </sheetViews>
  <sheetFormatPr defaultColWidth="9.140625" defaultRowHeight="12.75"/>
  <cols>
    <col min="1" max="1" width="19.7109375" style="17" customWidth="1"/>
    <col min="2" max="2" width="4.421875" style="12" customWidth="1"/>
    <col min="3" max="3" width="12.7109375" style="17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7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16" t="s">
        <v>40</v>
      </c>
      <c r="I1" s="18" t="s">
        <v>41</v>
      </c>
      <c r="J1" s="19" t="s">
        <v>42</v>
      </c>
    </row>
    <row r="2" spans="9:10" ht="12.75">
      <c r="I2" s="20" t="s">
        <v>43</v>
      </c>
      <c r="J2" s="21" t="s">
        <v>44</v>
      </c>
    </row>
    <row r="3" spans="1:10" ht="12.75">
      <c r="A3" s="22" t="s">
        <v>45</v>
      </c>
      <c r="I3" s="20" t="s">
        <v>46</v>
      </c>
      <c r="J3" s="21" t="s">
        <v>47</v>
      </c>
    </row>
    <row r="4" spans="9:10" ht="12.75">
      <c r="I4" s="20" t="s">
        <v>48</v>
      </c>
      <c r="J4" s="21" t="s">
        <v>47</v>
      </c>
    </row>
    <row r="5" spans="9:10" ht="13.5" thickBot="1">
      <c r="I5" s="23" t="s">
        <v>49</v>
      </c>
      <c r="J5" s="24" t="s">
        <v>50</v>
      </c>
    </row>
    <row r="10" ht="13.5" thickBot="1"/>
    <row r="11" spans="1:16" ht="12.75" customHeight="1" thickBot="1">
      <c r="A11" s="17" t="str">
        <f aca="true" t="shared" si="0" ref="A11:A23">P11</f>
        <v> PZ 4.297 </v>
      </c>
      <c r="B11" s="6" t="str">
        <f aca="true" t="shared" si="1" ref="B11:B23">IF(H11=INT(H11),"I","II")</f>
        <v>I</v>
      </c>
      <c r="C11" s="17">
        <f aca="true" t="shared" si="2" ref="C11:C23">1*G11</f>
        <v>19512.38</v>
      </c>
      <c r="D11" s="12" t="str">
        <f aca="true" t="shared" si="3" ref="D11:D23">VLOOKUP(F11,I$1:J$5,2,FALSE)</f>
        <v>vis</v>
      </c>
      <c r="E11" s="25">
        <f>VLOOKUP(C11,A!C$21:E$960,3,FALSE)</f>
        <v>-16194.904228406214</v>
      </c>
      <c r="F11" s="6" t="s">
        <v>49</v>
      </c>
      <c r="G11" s="12" t="str">
        <f aca="true" t="shared" si="4" ref="G11:G23">MID(I11,3,LEN(I11)-3)</f>
        <v>19512.38</v>
      </c>
      <c r="H11" s="17">
        <f aca="true" t="shared" si="5" ref="H11:H23">1*K11</f>
        <v>0</v>
      </c>
      <c r="I11" s="26" t="s">
        <v>51</v>
      </c>
      <c r="J11" s="27" t="s">
        <v>52</v>
      </c>
      <c r="K11" s="26">
        <v>0</v>
      </c>
      <c r="L11" s="26" t="s">
        <v>53</v>
      </c>
      <c r="M11" s="27" t="s">
        <v>54</v>
      </c>
      <c r="N11" s="27"/>
      <c r="O11" s="28" t="s">
        <v>55</v>
      </c>
      <c r="P11" s="28" t="s">
        <v>56</v>
      </c>
    </row>
    <row r="12" spans="1:16" ht="12.75" customHeight="1" thickBot="1">
      <c r="A12" s="17" t="str">
        <f t="shared" si="0"/>
        <v> PZ 4.297 </v>
      </c>
      <c r="B12" s="6" t="str">
        <f t="shared" si="1"/>
        <v>I</v>
      </c>
      <c r="C12" s="17">
        <f t="shared" si="2"/>
        <v>20922.38</v>
      </c>
      <c r="D12" s="12" t="str">
        <f t="shared" si="3"/>
        <v>vis</v>
      </c>
      <c r="E12" s="25">
        <f>VLOOKUP(C12,A!C$21:E$960,3,FALSE)</f>
        <v>-14234.992076950875</v>
      </c>
      <c r="F12" s="6" t="s">
        <v>49</v>
      </c>
      <c r="G12" s="12" t="str">
        <f t="shared" si="4"/>
        <v>20922.38</v>
      </c>
      <c r="H12" s="17">
        <f t="shared" si="5"/>
        <v>1410</v>
      </c>
      <c r="I12" s="26" t="s">
        <v>57</v>
      </c>
      <c r="J12" s="27" t="s">
        <v>58</v>
      </c>
      <c r="K12" s="26">
        <v>1410</v>
      </c>
      <c r="L12" s="26" t="s">
        <v>53</v>
      </c>
      <c r="M12" s="27" t="s">
        <v>54</v>
      </c>
      <c r="N12" s="27"/>
      <c r="O12" s="28" t="s">
        <v>55</v>
      </c>
      <c r="P12" s="28" t="s">
        <v>56</v>
      </c>
    </row>
    <row r="13" spans="1:16" ht="12.75" customHeight="1" thickBot="1">
      <c r="A13" s="17" t="str">
        <f t="shared" si="0"/>
        <v> PZ 4.297 </v>
      </c>
      <c r="B13" s="6" t="str">
        <f t="shared" si="1"/>
        <v>I</v>
      </c>
      <c r="C13" s="17">
        <f t="shared" si="2"/>
        <v>25348.27</v>
      </c>
      <c r="D13" s="12" t="str">
        <f t="shared" si="3"/>
        <v>vis</v>
      </c>
      <c r="E13" s="25">
        <f>VLOOKUP(C13,A!C$21:E$960,3,FALSE)</f>
        <v>-8082.966834394372</v>
      </c>
      <c r="F13" s="6" t="s">
        <v>49</v>
      </c>
      <c r="G13" s="12" t="str">
        <f t="shared" si="4"/>
        <v>25348.27</v>
      </c>
      <c r="H13" s="17">
        <f t="shared" si="5"/>
        <v>5836</v>
      </c>
      <c r="I13" s="26" t="s">
        <v>59</v>
      </c>
      <c r="J13" s="27" t="s">
        <v>60</v>
      </c>
      <c r="K13" s="26">
        <v>5836</v>
      </c>
      <c r="L13" s="26" t="s">
        <v>61</v>
      </c>
      <c r="M13" s="27" t="s">
        <v>54</v>
      </c>
      <c r="N13" s="27"/>
      <c r="O13" s="28" t="s">
        <v>55</v>
      </c>
      <c r="P13" s="28" t="s">
        <v>56</v>
      </c>
    </row>
    <row r="14" spans="1:16" ht="12.75" customHeight="1" thickBot="1">
      <c r="A14" s="17" t="str">
        <f t="shared" si="0"/>
        <v> PZ 4.297 </v>
      </c>
      <c r="B14" s="6" t="str">
        <f t="shared" si="1"/>
        <v>I</v>
      </c>
      <c r="C14" s="17">
        <f t="shared" si="2"/>
        <v>25701.3</v>
      </c>
      <c r="D14" s="12" t="str">
        <f t="shared" si="3"/>
        <v>vis</v>
      </c>
      <c r="E14" s="25">
        <f>VLOOKUP(C14,A!C$21:E$960,3,FALSE)</f>
        <v>-7592.252091962971</v>
      </c>
      <c r="F14" s="6" t="s">
        <v>49</v>
      </c>
      <c r="G14" s="12" t="str">
        <f t="shared" si="4"/>
        <v>25701.30</v>
      </c>
      <c r="H14" s="17">
        <f t="shared" si="5"/>
        <v>6189</v>
      </c>
      <c r="I14" s="26" t="s">
        <v>62</v>
      </c>
      <c r="J14" s="27" t="s">
        <v>63</v>
      </c>
      <c r="K14" s="26">
        <v>6189</v>
      </c>
      <c r="L14" s="26" t="s">
        <v>64</v>
      </c>
      <c r="M14" s="27" t="s">
        <v>54</v>
      </c>
      <c r="N14" s="27"/>
      <c r="O14" s="28" t="s">
        <v>55</v>
      </c>
      <c r="P14" s="28" t="s">
        <v>56</v>
      </c>
    </row>
    <row r="15" spans="1:16" ht="12.75" customHeight="1" thickBot="1">
      <c r="A15" s="17" t="str">
        <f t="shared" si="0"/>
        <v> IODE 4.1.145 </v>
      </c>
      <c r="B15" s="6" t="str">
        <f t="shared" si="1"/>
        <v>I</v>
      </c>
      <c r="C15" s="17">
        <f t="shared" si="2"/>
        <v>31163.29</v>
      </c>
      <c r="D15" s="12" t="str">
        <f t="shared" si="3"/>
        <v>vis</v>
      </c>
      <c r="E15" s="25">
        <f>VLOOKUP(C15,A!C$21:E$960,3,FALSE)</f>
        <v>-0.03892024130331155</v>
      </c>
      <c r="F15" s="6" t="s">
        <v>49</v>
      </c>
      <c r="G15" s="12" t="str">
        <f t="shared" si="4"/>
        <v>31163.29</v>
      </c>
      <c r="H15" s="17">
        <f t="shared" si="5"/>
        <v>11651</v>
      </c>
      <c r="I15" s="26" t="s">
        <v>65</v>
      </c>
      <c r="J15" s="27" t="s">
        <v>66</v>
      </c>
      <c r="K15" s="26">
        <v>11651</v>
      </c>
      <c r="L15" s="26" t="s">
        <v>67</v>
      </c>
      <c r="M15" s="27" t="s">
        <v>68</v>
      </c>
      <c r="N15" s="27"/>
      <c r="O15" s="28" t="s">
        <v>69</v>
      </c>
      <c r="P15" s="28" t="s">
        <v>70</v>
      </c>
    </row>
    <row r="16" spans="1:16" ht="12.75" customHeight="1" thickBot="1">
      <c r="A16" s="17" t="str">
        <f t="shared" si="0"/>
        <v> IODE 4.1.145 </v>
      </c>
      <c r="B16" s="6" t="str">
        <f t="shared" si="1"/>
        <v>I</v>
      </c>
      <c r="C16" s="17">
        <f t="shared" si="2"/>
        <v>31164.39</v>
      </c>
      <c r="D16" s="12" t="str">
        <f t="shared" si="3"/>
        <v>vis</v>
      </c>
      <c r="E16" s="25">
        <f>VLOOKUP(C16,A!C$21:E$960,3,FALSE)</f>
        <v>1.490089238553441</v>
      </c>
      <c r="F16" s="6" t="s">
        <v>49</v>
      </c>
      <c r="G16" s="12" t="str">
        <f t="shared" si="4"/>
        <v>31164.39</v>
      </c>
      <c r="H16" s="17">
        <f t="shared" si="5"/>
        <v>11652</v>
      </c>
      <c r="I16" s="26" t="s">
        <v>71</v>
      </c>
      <c r="J16" s="27" t="s">
        <v>72</v>
      </c>
      <c r="K16" s="26">
        <v>11652</v>
      </c>
      <c r="L16" s="26" t="s">
        <v>73</v>
      </c>
      <c r="M16" s="27" t="s">
        <v>68</v>
      </c>
      <c r="N16" s="27"/>
      <c r="O16" s="28" t="s">
        <v>69</v>
      </c>
      <c r="P16" s="28" t="s">
        <v>70</v>
      </c>
    </row>
    <row r="17" spans="1:16" ht="12.75" customHeight="1" thickBot="1">
      <c r="A17" s="17" t="str">
        <f t="shared" si="0"/>
        <v> IODE 4.1.145 </v>
      </c>
      <c r="B17" s="6" t="str">
        <f t="shared" si="1"/>
        <v>I</v>
      </c>
      <c r="C17" s="17">
        <f t="shared" si="2"/>
        <v>31169.37</v>
      </c>
      <c r="D17" s="12" t="str">
        <f t="shared" si="3"/>
        <v>vis</v>
      </c>
      <c r="E17" s="25">
        <f>VLOOKUP(C17,A!C$21:E$960,3,FALSE)</f>
        <v>8.412332156458925</v>
      </c>
      <c r="F17" s="6" t="s">
        <v>49</v>
      </c>
      <c r="G17" s="12" t="str">
        <f t="shared" si="4"/>
        <v>31169.37</v>
      </c>
      <c r="H17" s="17">
        <f t="shared" si="5"/>
        <v>11657</v>
      </c>
      <c r="I17" s="26" t="s">
        <v>74</v>
      </c>
      <c r="J17" s="27" t="s">
        <v>75</v>
      </c>
      <c r="K17" s="26">
        <v>11657</v>
      </c>
      <c r="L17" s="26" t="s">
        <v>76</v>
      </c>
      <c r="M17" s="27" t="s">
        <v>68</v>
      </c>
      <c r="N17" s="27"/>
      <c r="O17" s="28" t="s">
        <v>69</v>
      </c>
      <c r="P17" s="28" t="s">
        <v>70</v>
      </c>
    </row>
    <row r="18" spans="1:16" ht="12.75" customHeight="1" thickBot="1">
      <c r="A18" s="17" t="str">
        <f t="shared" si="0"/>
        <v> IODE 4.1.145 </v>
      </c>
      <c r="B18" s="6" t="str">
        <f t="shared" si="1"/>
        <v>I</v>
      </c>
      <c r="C18" s="17">
        <f t="shared" si="2"/>
        <v>31176.27</v>
      </c>
      <c r="D18" s="12" t="str">
        <f t="shared" si="3"/>
        <v>vis</v>
      </c>
      <c r="E18" s="25">
        <f>VLOOKUP(C18,A!C$21:E$960,3,FALSE)</f>
        <v>18.00339162102963</v>
      </c>
      <c r="F18" s="6" t="s">
        <v>49</v>
      </c>
      <c r="G18" s="12" t="str">
        <f t="shared" si="4"/>
        <v>31176.27</v>
      </c>
      <c r="H18" s="17">
        <f t="shared" si="5"/>
        <v>11664</v>
      </c>
      <c r="I18" s="26" t="s">
        <v>77</v>
      </c>
      <c r="J18" s="27" t="s">
        <v>78</v>
      </c>
      <c r="K18" s="26">
        <v>11664</v>
      </c>
      <c r="L18" s="26" t="s">
        <v>61</v>
      </c>
      <c r="M18" s="27" t="s">
        <v>68</v>
      </c>
      <c r="N18" s="27"/>
      <c r="O18" s="28" t="s">
        <v>69</v>
      </c>
      <c r="P18" s="28" t="s">
        <v>70</v>
      </c>
    </row>
    <row r="19" spans="1:16" ht="12.75" customHeight="1" thickBot="1">
      <c r="A19" s="17" t="str">
        <f t="shared" si="0"/>
        <v> IODE 4.1.145 </v>
      </c>
      <c r="B19" s="6" t="str">
        <f t="shared" si="1"/>
        <v>I</v>
      </c>
      <c r="C19" s="17">
        <f t="shared" si="2"/>
        <v>31194.25</v>
      </c>
      <c r="D19" s="12" t="str">
        <f t="shared" si="3"/>
        <v>vis</v>
      </c>
      <c r="E19" s="25">
        <f>VLOOKUP(C19,A!C$21:E$960,3,FALSE)</f>
        <v>42.99574657362973</v>
      </c>
      <c r="F19" s="6" t="s">
        <v>49</v>
      </c>
      <c r="G19" s="12" t="str">
        <f t="shared" si="4"/>
        <v>31194.25</v>
      </c>
      <c r="H19" s="17">
        <f t="shared" si="5"/>
        <v>11682</v>
      </c>
      <c r="I19" s="26" t="s">
        <v>79</v>
      </c>
      <c r="J19" s="27" t="s">
        <v>80</v>
      </c>
      <c r="K19" s="26">
        <v>11682</v>
      </c>
      <c r="L19" s="26" t="s">
        <v>81</v>
      </c>
      <c r="M19" s="27" t="s">
        <v>68</v>
      </c>
      <c r="N19" s="27"/>
      <c r="O19" s="28" t="s">
        <v>69</v>
      </c>
      <c r="P19" s="28" t="s">
        <v>70</v>
      </c>
    </row>
    <row r="20" spans="1:16" ht="12.75" customHeight="1" thickBot="1">
      <c r="A20" s="17" t="str">
        <f t="shared" si="0"/>
        <v> IODE 4.1.145 </v>
      </c>
      <c r="B20" s="6" t="str">
        <f t="shared" si="1"/>
        <v>I</v>
      </c>
      <c r="C20" s="17">
        <f t="shared" si="2"/>
        <v>31235.23</v>
      </c>
      <c r="D20" s="12" t="str">
        <f t="shared" si="3"/>
        <v>vis</v>
      </c>
      <c r="E20" s="25">
        <f>VLOOKUP(C20,A!C$21:E$960,3,FALSE)</f>
        <v>99.95829974145877</v>
      </c>
      <c r="F20" s="6" t="s">
        <v>49</v>
      </c>
      <c r="G20" s="12" t="str">
        <f t="shared" si="4"/>
        <v>31235.23</v>
      </c>
      <c r="H20" s="17">
        <f t="shared" si="5"/>
        <v>11723</v>
      </c>
      <c r="I20" s="26" t="s">
        <v>82</v>
      </c>
      <c r="J20" s="27" t="s">
        <v>83</v>
      </c>
      <c r="K20" s="26">
        <v>11723</v>
      </c>
      <c r="L20" s="26" t="s">
        <v>84</v>
      </c>
      <c r="M20" s="27" t="s">
        <v>68</v>
      </c>
      <c r="N20" s="27"/>
      <c r="O20" s="28" t="s">
        <v>69</v>
      </c>
      <c r="P20" s="28" t="s">
        <v>70</v>
      </c>
    </row>
    <row r="21" spans="1:16" ht="12.75" customHeight="1" thickBot="1">
      <c r="A21" s="17" t="str">
        <f t="shared" si="0"/>
        <v> BBS 112 </v>
      </c>
      <c r="B21" s="6" t="str">
        <f t="shared" si="1"/>
        <v>II</v>
      </c>
      <c r="C21" s="17">
        <f t="shared" si="2"/>
        <v>49780.453</v>
      </c>
      <c r="D21" s="12" t="str">
        <f t="shared" si="3"/>
        <v>vis</v>
      </c>
      <c r="E21" s="25">
        <f>VLOOKUP(C21,A!C$21:E$960,3,FALSE)</f>
        <v>25877.978093464186</v>
      </c>
      <c r="F21" s="6" t="s">
        <v>49</v>
      </c>
      <c r="G21" s="12" t="str">
        <f t="shared" si="4"/>
        <v>49780.453</v>
      </c>
      <c r="H21" s="17">
        <f t="shared" si="5"/>
        <v>30268.5</v>
      </c>
      <c r="I21" s="26" t="s">
        <v>85</v>
      </c>
      <c r="J21" s="27" t="s">
        <v>86</v>
      </c>
      <c r="K21" s="26">
        <v>30268.5</v>
      </c>
      <c r="L21" s="26" t="s">
        <v>87</v>
      </c>
      <c r="M21" s="27" t="s">
        <v>68</v>
      </c>
      <c r="N21" s="27"/>
      <c r="O21" s="28" t="s">
        <v>88</v>
      </c>
      <c r="P21" s="28" t="s">
        <v>89</v>
      </c>
    </row>
    <row r="22" spans="1:16" ht="12.75" customHeight="1" thickBot="1">
      <c r="A22" s="17" t="str">
        <f t="shared" si="0"/>
        <v> BBS 112 </v>
      </c>
      <c r="B22" s="6" t="str">
        <f t="shared" si="1"/>
        <v>II</v>
      </c>
      <c r="C22" s="17">
        <f t="shared" si="2"/>
        <v>50153.475</v>
      </c>
      <c r="D22" s="12" t="str">
        <f t="shared" si="3"/>
        <v>vis</v>
      </c>
      <c r="E22" s="25">
        <f>VLOOKUP(C22,A!C$21:E$960,3,FALSE)</f>
        <v>26396.481888187707</v>
      </c>
      <c r="F22" s="6" t="s">
        <v>49</v>
      </c>
      <c r="G22" s="12" t="str">
        <f t="shared" si="4"/>
        <v>50153.475</v>
      </c>
      <c r="H22" s="17">
        <f t="shared" si="5"/>
        <v>30641.5</v>
      </c>
      <c r="I22" s="26" t="s">
        <v>90</v>
      </c>
      <c r="J22" s="27" t="s">
        <v>91</v>
      </c>
      <c r="K22" s="26">
        <v>30641.5</v>
      </c>
      <c r="L22" s="26" t="s">
        <v>92</v>
      </c>
      <c r="M22" s="27" t="s">
        <v>68</v>
      </c>
      <c r="N22" s="27"/>
      <c r="O22" s="28" t="s">
        <v>88</v>
      </c>
      <c r="P22" s="28" t="s">
        <v>89</v>
      </c>
    </row>
    <row r="23" spans="1:16" ht="12.75" customHeight="1" thickBot="1">
      <c r="A23" s="17" t="str">
        <f t="shared" si="0"/>
        <v> BBS 114 </v>
      </c>
      <c r="B23" s="6" t="str">
        <f t="shared" si="1"/>
        <v>II</v>
      </c>
      <c r="C23" s="17">
        <f t="shared" si="2"/>
        <v>50515.562</v>
      </c>
      <c r="D23" s="12" t="str">
        <f t="shared" si="3"/>
        <v>vis</v>
      </c>
      <c r="E23" s="25">
        <f>VLOOKUP(C23,A!C$21:E$960,3,FALSE)</f>
        <v>26899.78593867282</v>
      </c>
      <c r="F23" s="6" t="s">
        <v>49</v>
      </c>
      <c r="G23" s="12" t="str">
        <f t="shared" si="4"/>
        <v>50515.562</v>
      </c>
      <c r="H23" s="17">
        <f t="shared" si="5"/>
        <v>31003.5</v>
      </c>
      <c r="I23" s="26" t="s">
        <v>93</v>
      </c>
      <c r="J23" s="27" t="s">
        <v>94</v>
      </c>
      <c r="K23" s="26">
        <v>31003.5</v>
      </c>
      <c r="L23" s="26" t="s">
        <v>95</v>
      </c>
      <c r="M23" s="27" t="s">
        <v>96</v>
      </c>
      <c r="N23" s="27" t="s">
        <v>97</v>
      </c>
      <c r="O23" s="28" t="s">
        <v>98</v>
      </c>
      <c r="P23" s="28" t="s">
        <v>99</v>
      </c>
    </row>
    <row r="24" spans="2:6" ht="12.75">
      <c r="B24" s="6"/>
      <c r="E24" s="25"/>
      <c r="F24" s="6"/>
    </row>
    <row r="25" spans="2:6" ht="12.75">
      <c r="B25" s="6"/>
      <c r="E25" s="25"/>
      <c r="F25" s="6"/>
    </row>
    <row r="26" spans="2:6" ht="12.75">
      <c r="B26" s="6"/>
      <c r="E26" s="25"/>
      <c r="F26" s="6"/>
    </row>
    <row r="27" spans="2:6" ht="12.75">
      <c r="B27" s="6"/>
      <c r="E27" s="25"/>
      <c r="F27" s="6"/>
    </row>
    <row r="28" spans="2:6" ht="12.75">
      <c r="B28" s="6"/>
      <c r="E28" s="25"/>
      <c r="F28" s="6"/>
    </row>
    <row r="29" spans="2:6" ht="12.75">
      <c r="B29" s="6"/>
      <c r="E29" s="25"/>
      <c r="F29" s="6"/>
    </row>
    <row r="30" spans="2:6" ht="12.75">
      <c r="B30" s="6"/>
      <c r="E30" s="25"/>
      <c r="F30" s="6"/>
    </row>
    <row r="31" spans="2:6" ht="12.75">
      <c r="B31" s="6"/>
      <c r="E31" s="25"/>
      <c r="F31" s="6"/>
    </row>
    <row r="32" spans="2:6" ht="12.75">
      <c r="B32" s="6"/>
      <c r="E32" s="25"/>
      <c r="F32" s="6"/>
    </row>
    <row r="33" spans="2:6" ht="12.75">
      <c r="B33" s="6"/>
      <c r="E33" s="25"/>
      <c r="F33" s="6"/>
    </row>
    <row r="34" spans="2:6" ht="12.75">
      <c r="B34" s="6"/>
      <c r="E34" s="25"/>
      <c r="F34" s="6"/>
    </row>
    <row r="35" spans="2:6" ht="12.75">
      <c r="B35" s="6"/>
      <c r="E35" s="25"/>
      <c r="F35" s="6"/>
    </row>
    <row r="36" spans="2:6" ht="12.75">
      <c r="B36" s="6"/>
      <c r="E36" s="25"/>
      <c r="F36" s="6"/>
    </row>
    <row r="37" spans="2:6" ht="12.75">
      <c r="B37" s="6"/>
      <c r="E37" s="25"/>
      <c r="F37" s="6"/>
    </row>
    <row r="38" spans="2:6" ht="12.75">
      <c r="B38" s="6"/>
      <c r="E38" s="25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2022-11-13T01:05:41Z</dcterms:modified>
  <cp:category/>
  <cp:version/>
  <cp:contentType/>
  <cp:contentStatus/>
</cp:coreProperties>
</file>