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95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<sst xmlns="http://schemas.openxmlformats.org/spreadsheetml/2006/main" count="56" uniqueCount="51">
  <si>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</si>
  <si>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</si>
  <si>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</si>
  <si>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</si>
  <si>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</si>
  <si>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</si>
  <si>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</si>
  <si>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</si>
  <si>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</si>
  <si>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</si>
  <si>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</si>
  <si>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</si>
  <si>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</si>
  <si>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</si>
  <si>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</si>
  <si>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</si>
  <si>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</si>
  <si>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</si>
  <si>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</si>
  <si>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</si>
  <si>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</si>
  <si>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</si>
  <si>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</si>
  <si>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</si>
  <si>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</si>
  <si>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</si>
  <si>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</si>
  <si>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</si>
  <si>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</si>
  <si>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</si>
  <si>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</si>
  <si>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</si>
  <si>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</si>
  <si>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</si>
  <si>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</si>
  <si>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</si>
  <si>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</si>
  <si>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</si>
  <si>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</si>
  <si>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</si>
  <si>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</si>
  <si>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</si>
  <si>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TZ CrA</t>
  </si>
  <si>
    <t>G7912-0255</t>
  </si>
  <si>
    <t>EA/SD</t>
  </si>
  <si>
    <t>pr_0</t>
  </si>
  <si>
    <t xml:space="preserve">A1III/IV       </t>
  </si>
  <si>
    <t>TZ CrA / GSC 7912-0255</t>
  </si>
  <si>
    <t>Kreiner</t>
  </si>
  <si>
    <t>OEJV 0179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</si>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</sst>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CrA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055069"/>
        <c:axId val="26715898"/>
      </c:scatterChart>
      <c:valAx>
        <c:axId val="205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5898"/>
        <c:crosses val="autoZero"/>
        <c:crossBetween val="midCat"/>
        <c:dispUnits/>
      </c:valAx>
      <c:valAx>
        <c:axId val="2671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0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8" t="s">
        <v>42</v>
      </c>
      <c r="G1" s="31">
        <v>0</v>
      </c>
      <c r="H1" s="32"/>
      <c r="I1" s="39" t="s">
        <v>43</v>
      </c>
      <c r="J1" s="38" t="s">
        <v>42</v>
      </c>
      <c r="K1" s="40">
        <v>18.184820000000002</v>
      </c>
      <c r="L1" s="34">
        <v>-43.2137</v>
      </c>
      <c r="M1" s="35">
        <v>52500.1821</v>
      </c>
      <c r="N1" s="35">
        <v>0.68674813</v>
      </c>
      <c r="O1" s="33" t="s">
        <v>44</v>
      </c>
      <c r="P1" s="41">
        <v>9.6</v>
      </c>
      <c r="Q1" s="41">
        <v>10.33</v>
      </c>
      <c r="R1" s="42" t="s">
        <v>45</v>
      </c>
      <c r="S1" s="33" t="s">
        <v>46</v>
      </c>
    </row>
    <row r="2" spans="1:4" ht="12.75">
      <c r="A2" t="s">
        <v>24</v>
      </c>
      <c r="B2" t="s">
        <v>44</v>
      </c>
      <c r="C2" s="30"/>
      <c r="D2" s="3"/>
    </row>
    <row r="3" ht="13.5" thickBot="1"/>
    <row r="4" spans="1:4" ht="14.25" thickBot="1" thickTop="1">
      <c r="A4" s="5" t="s">
        <v>1</v>
      </c>
      <c r="C4" s="27">
        <v>36080.035</v>
      </c>
      <c r="D4" s="28">
        <v>0.68674954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52500.1821</v>
      </c>
      <c r="D7" s="29" t="s">
        <v>48</v>
      </c>
    </row>
    <row r="8" spans="1:4" ht="12.75">
      <c r="A8" t="s">
        <v>4</v>
      </c>
      <c r="C8" s="8">
        <f>N1</f>
        <v>0.68674813</v>
      </c>
      <c r="D8" s="29" t="str">
        <f>D7</f>
        <v>Kreiner</v>
      </c>
    </row>
    <row r="9" spans="1:4" ht="12.75">
      <c r="A9" s="24" t="s">
        <v>33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-0.00279718298019417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3.768257435598751E-07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57951.58894999977</v>
      </c>
      <c r="E15" s="14" t="s">
        <v>35</v>
      </c>
      <c r="F15" s="36">
        <v>1</v>
      </c>
    </row>
    <row r="16" spans="1:6" ht="12.75">
      <c r="A16" s="16" t="s">
        <v>5</v>
      </c>
      <c r="B16" s="10"/>
      <c r="C16" s="17">
        <f>+C8+C12</f>
        <v>0.6867485068257436</v>
      </c>
      <c r="E16" s="14" t="s">
        <v>31</v>
      </c>
      <c r="F16" s="37">
        <f ca="1">NOW()+15018.5+$C$5/24</f>
        <v>59896.6831568287</v>
      </c>
    </row>
    <row r="17" spans="1:6" ht="13.5" thickBot="1">
      <c r="A17" s="14" t="s">
        <v>28</v>
      </c>
      <c r="B17" s="10"/>
      <c r="C17" s="10">
        <f>COUNT(C21:C2191)</f>
        <v>3</v>
      </c>
      <c r="E17" s="14" t="s">
        <v>36</v>
      </c>
      <c r="F17" s="15">
        <f>ROUND(2*(F16-$C$7)/$C$8,0)/2+F15</f>
        <v>10771.5</v>
      </c>
    </row>
    <row r="18" spans="1:6" ht="14.25" thickBot="1" thickTop="1">
      <c r="A18" s="16" t="s">
        <v>6</v>
      </c>
      <c r="B18" s="10"/>
      <c r="C18" s="19">
        <f>+C15</f>
        <v>57951.58894999977</v>
      </c>
      <c r="D18" s="20">
        <f>+C16</f>
        <v>0.6867485068257436</v>
      </c>
      <c r="E18" s="14" t="s">
        <v>37</v>
      </c>
      <c r="F18" s="23">
        <f>ROUND(2*(F16-$C$15)/$C$16,0)/2+F15</f>
        <v>2833.5</v>
      </c>
    </row>
    <row r="19" spans="5:6" ht="13.5" thickTop="1">
      <c r="E19" s="14" t="s">
        <v>32</v>
      </c>
      <c r="F19" s="18">
        <f>+$C$15+$C$16*F18-15018.5-$C$5/24</f>
        <v>44879.38667742385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48</v>
      </c>
      <c r="C21" s="8">
        <v>52500.1821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>+C$11+C$12*$F21</f>
        <v>-0.00279718298019417</v>
      </c>
      <c r="Q21" s="2">
        <f>+C21-15018.5</f>
        <v>37481.6821</v>
      </c>
    </row>
    <row r="22" spans="1:17" ht="12.75">
      <c r="A22" s="43" t="s">
        <v>49</v>
      </c>
      <c r="B22" s="44" t="s">
        <v>0</v>
      </c>
      <c r="C22" s="45">
        <v>57146.7197</v>
      </c>
      <c r="D22" s="45">
        <v>0.0001</v>
      </c>
      <c r="E22">
        <f>+(C22-C$7)/C$8</f>
        <v>6765.999639489376</v>
      </c>
      <c r="F22">
        <f>ROUND(2*E22,0)/2</f>
        <v>6766</v>
      </c>
      <c r="G22">
        <f>+C22-(C$7+F22*C$8)</f>
        <v>-0.00024757999926805496</v>
      </c>
      <c r="K22">
        <f>+G22</f>
        <v>-0.00024757999926805496</v>
      </c>
      <c r="O22">
        <f>+C$11+C$12*$F22</f>
        <v>-0.00024757999926805496</v>
      </c>
      <c r="Q22" s="2">
        <f>+C22-15018.5</f>
        <v>42128.2197</v>
      </c>
    </row>
    <row r="23" spans="1:17" ht="12.75">
      <c r="A23" s="46" t="s">
        <v>50</v>
      </c>
      <c r="B23" s="47" t="s">
        <v>0</v>
      </c>
      <c r="C23" s="48">
        <v>57951.58894999977</v>
      </c>
      <c r="D23" s="48">
        <v>0</v>
      </c>
      <c r="E23">
        <f>+(C23-C$7)/C$8</f>
        <v>7938.000282577797</v>
      </c>
      <c r="F23">
        <f>ROUND(2*E23,0)/2</f>
        <v>7938</v>
      </c>
      <c r="G23">
        <f>+C23-(C$7+F23*C$8)</f>
        <v>0.00019405977218411863</v>
      </c>
      <c r="K23">
        <f>+G23</f>
        <v>0.00019405977218411863</v>
      </c>
      <c r="O23">
        <f>+C$11+C$12*$F23</f>
        <v>0.00019405977218411863</v>
      </c>
      <c r="Q23" s="2">
        <f>+C23-15018.5</f>
        <v>42933.08894999977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3:D23" name="Range1"/>
  </protectedRanges>
  <hyperlinks>
    <hyperlink ref="H1300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