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32760" windowWidth="8265" windowHeight="1323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<sst xmlns="http://schemas.openxmlformats.org/spreadsheetml/2006/main" count="311" uniqueCount="154">
  <si>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</si>
  <si>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</si>
  <si>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</si>
  <si>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</si>
  <si>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</si>
  <si>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</si>
  <si>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</si>
  <si>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</si>
  <si>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</si>
  <si>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</si>
  <si>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</si>
  <si>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</si>
  <si>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</si>
  <si>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</si>
  <si>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</si>
  <si>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</si>
  <si>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</si>
  <si>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</si>
  <si>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</si>
  <si>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</si>
  <si>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</si>
  <si>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</si>
  <si>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</si>
  <si>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</si>
  <si>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</si>
  <si>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</si>
  <si>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</si>
  <si>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</si>
  <si>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</si>
  <si>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</si>
  <si>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IBVS 5484</t>
  </si>
  <si>
    <t># of data points:</t>
  </si>
  <si>
    <t>V493 Cyg / GSC 02675-02526</t>
  </si>
  <si>
    <t>EA/KE:</t>
  </si>
  <si>
    <t>IBVS 5731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</si>
  <si>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</si>
  <si>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</si>
  <si>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</si>
  <si>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</si>
  <si>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</si>
  <si>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</si>
  <si>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</si>
  <si>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</si>
  <si>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</si>
  <si>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</si>
  <si>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</si>
  <si>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</si>
  <si>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2428054.053 </t>
  </si>
  <si>
    <t> 08.09.1935 13:16 </t>
  </si>
  <si>
    <t> -0.015 </t>
  </si>
  <si>
    <t> A.A.Wachmann </t>
  </si>
  <si>
    <t> AAAN 11.5.33 </t>
  </si>
  <si>
    <t>2428377.932 </t>
  </si>
  <si>
    <t> 28.07.1936 10:22 </t>
  </si>
  <si>
    <t> -0.007 </t>
  </si>
  <si>
    <t>2428825.480 </t>
  </si>
  <si>
    <t> 18.10.1937 23:31 </t>
  </si>
  <si>
    <t> -0.013 </t>
  </si>
  <si>
    <t>2429192.708 </t>
  </si>
  <si>
    <t> 21.10.1938 04:59 </t>
  </si>
  <si>
    <t> -0.009 </t>
  </si>
  <si>
    <t>2429355.922 </t>
  </si>
  <si>
    <t> 02.04.1939 10:07 </t>
  </si>
  <si>
    <t> -0.006 </t>
  </si>
  <si>
    <t>2430169.464 </t>
  </si>
  <si>
    <t> 23.06.1941 23:08 </t>
  </si>
  <si>
    <t> 0.033 </t>
  </si>
  <si>
    <t>P </t>
  </si>
  <si>
    <t> E.Ahnert-Rohlfs </t>
  </si>
  <si>
    <t> VSS 2.142 </t>
  </si>
  <si>
    <t>2430828.597 </t>
  </si>
  <si>
    <t> 14.04.1943 02:19 </t>
  </si>
  <si>
    <t> -0.051 </t>
  </si>
  <si>
    <t>2431671.453 </t>
  </si>
  <si>
    <t> 03.08.1945 22:52 </t>
  </si>
  <si>
    <t> -0.025 </t>
  </si>
  <si>
    <t>2431703.364 </t>
  </si>
  <si>
    <t> 04.09.1945 20:44 </t>
  </si>
  <si>
    <t> 0.009 </t>
  </si>
  <si>
    <t>2431763.285 </t>
  </si>
  <si>
    <t> 03.11.1945 18:50 </t>
  </si>
  <si>
    <t> 0.001 </t>
  </si>
  <si>
    <t>2432297.525 </t>
  </si>
  <si>
    <t> 22.04.1947 00:36 </t>
  </si>
  <si>
    <t> -0.019 </t>
  </si>
  <si>
    <t>2432320.469 </t>
  </si>
  <si>
    <t> 14.05.1947 23:15 </t>
  </si>
  <si>
    <t> -0.027 </t>
  </si>
  <si>
    <t>2433186.330 </t>
  </si>
  <si>
    <t> 26.09.1949 19:55 </t>
  </si>
  <si>
    <t> 0.053 </t>
  </si>
  <si>
    <t>2433831.453 </t>
  </si>
  <si>
    <t> 03.07.1951 22:52 </t>
  </si>
  <si>
    <t> -0.016 </t>
  </si>
  <si>
    <t>2433891.405 </t>
  </si>
  <si>
    <t> 01.09.1951 21:43 </t>
  </si>
  <si>
    <t> 0.007 </t>
  </si>
  <si>
    <t>2433896.452 </t>
  </si>
  <si>
    <t> 06.09.1951 22:50 </t>
  </si>
  <si>
    <t> -0.046 </t>
  </si>
  <si>
    <t>2450314.5607 </t>
  </si>
  <si>
    <t> 19.08.1996 01:27 </t>
  </si>
  <si>
    <t> 0.0938 </t>
  </si>
  <si>
    <t>E </t>
  </si>
  <si>
    <t>o</t>
  </si>
  <si>
    <t> F.Agerer </t>
  </si>
  <si>
    <t>BAVM 158 </t>
  </si>
  <si>
    <t>2450712.3876 </t>
  </si>
  <si>
    <t> 20.09.1997 21:18 </t>
  </si>
  <si>
    <t> 0.0948 </t>
  </si>
  <si>
    <t>2451806.438 </t>
  </si>
  <si>
    <t> 18.09.2000 22:30 </t>
  </si>
  <si>
    <t> 0.124 </t>
  </si>
  <si>
    <t>?</t>
  </si>
  <si>
    <t> R.Diethelm </t>
  </si>
  <si>
    <t> BBS 123 </t>
  </si>
  <si>
    <t>2452112.4347 </t>
  </si>
  <si>
    <t> 21.07.2001 22:25 </t>
  </si>
  <si>
    <t> 0.1008 </t>
  </si>
  <si>
    <t>2453655.2922 </t>
  </si>
  <si>
    <t> 11.10.2005 19:00 </t>
  </si>
  <si>
    <t> 0.1078 </t>
  </si>
  <si>
    <t>C </t>
  </si>
  <si>
    <t>-I</t>
  </si>
  <si>
    <t>BAVM 178 </t>
  </si>
  <si>
    <t>2453660.3888 </t>
  </si>
  <si>
    <t> 16.10.2005 21:19 </t>
  </si>
  <si>
    <t>19165</t>
  </si>
  <si>
    <t> 0.1041 </t>
  </si>
  <si>
    <t>2453920.5081 </t>
  </si>
  <si>
    <t> 04.07.2006 00:11 </t>
  </si>
  <si>
    <t>19369</t>
  </si>
  <si>
    <t> 0.1065 </t>
  </si>
  <si>
    <t>2454240.5680 </t>
  </si>
  <si>
    <t> 20.05.2007 01:37 </t>
  </si>
  <si>
    <t>19620</t>
  </si>
  <si>
    <t> 0.1205 </t>
  </si>
  <si>
    <t> U.Schmidt </t>
  </si>
  <si>
    <t>BAVM 193 </t>
  </si>
  <si>
    <t>2454685.5691 </t>
  </si>
  <si>
    <t> 07.08.2008 01:39 </t>
  </si>
  <si>
    <t>19969</t>
  </si>
  <si>
    <t> 0.1177 </t>
  </si>
  <si>
    <t>BAVM 203 </t>
  </si>
  <si>
    <t>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</si>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</sst>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top"/>
    </xf>
    <xf numFmtId="0" fontId="10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1" fillId="0" borderId="0" xfId="57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1" fillId="24" borderId="18" xfId="57" applyFill="1" applyBorder="1" applyAlignment="1" applyProtection="1">
      <alignment horizontal="right" vertical="top" wrapText="1"/>
      <protection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22" fontId="8" fillId="0" borderId="0" xfId="0" applyNumberFormat="1" applyFont="1" applyAlignment="1">
      <alignment vertical="top"/>
    </xf>
    <xf numFmtId="0" fontId="15" fillId="0" borderId="10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31" fillId="0" borderId="0" xfId="61" applyFont="1" applyAlignment="1">
      <alignment horizontal="left"/>
      <protection/>
    </xf>
    <xf numFmtId="0" fontId="31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V493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05"/>
          <c:w val="0.89575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A!$F$21:$F$300</c:f>
              <c:numCache/>
            </c:numRef>
          </c:xVal>
          <c:yVal>
            <c:numRef>
              <c:f>A!$U$21:$U$300</c:f>
              <c:numCache/>
            </c:numRef>
          </c:yVal>
          <c:smooth val="0"/>
        </c:ser>
        <c:axId val="36876420"/>
        <c:axId val="63452325"/>
      </c:scatterChart>
      <c:valAx>
        <c:axId val="36876420"/>
        <c:scaling>
          <c:orientation val="minMax"/>
          <c:min val="1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2325"/>
        <c:crosses val="autoZero"/>
        <c:crossBetween val="midCat"/>
        <c:dispUnits/>
      </c:valAx>
      <c:valAx>
        <c:axId val="63452325"/>
        <c:scaling>
          <c:orientation val="minMax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642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675"/>
          <c:y val="0.92925"/>
          <c:w val="0.923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V493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475"/>
          <c:w val="0.888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0.0002</c:v>
                  </c:pt>
                  <c:pt idx="18">
                    <c:v>0.0003</c:v>
                  </c:pt>
                  <c:pt idx="19">
                    <c:v>0</c:v>
                  </c:pt>
                  <c:pt idx="20">
                    <c:v>0.0009</c:v>
                  </c:pt>
                  <c:pt idx="21">
                    <c:v>0.0022</c:v>
                  </c:pt>
                  <c:pt idx="22">
                    <c:v>0.0014</c:v>
                  </c:pt>
                  <c:pt idx="23">
                    <c:v>0.0025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34200014"/>
        <c:axId val="39364671"/>
      </c:scatterChart>
      <c:valAx>
        <c:axId val="3420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64671"/>
        <c:crosses val="autoZero"/>
        <c:crossBetween val="midCat"/>
        <c:dispUnits/>
      </c:valAx>
      <c:valAx>
        <c:axId val="39364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001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5"/>
          <c:y val="0.9295"/>
          <c:w val="0.880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15</xdr:col>
      <xdr:colOff>38100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438650" y="0"/>
        <a:ext cx="50482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85725</xdr:colOff>
      <xdr:row>0</xdr:row>
      <xdr:rowOff>0</xdr:rowOff>
    </xdr:from>
    <xdr:to>
      <xdr:col>22</xdr:col>
      <xdr:colOff>104775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9534525" y="0"/>
        <a:ext cx="46196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hyperlink" Target="http://vsolj.cetus-net.org/bulletin.html" TargetMode="External" /><Relationship Id="rId13" Type="http://schemas.openxmlformats.org/officeDocument/2006/relationships/hyperlink" Target="http://cdsbib.u-strasbg.fr/cgi-bin/cdsbib?1990RMxAA..21..381G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vsolj.cetus-net.org/bulletin.html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58" TargetMode="External" /><Relationship Id="rId2" Type="http://schemas.openxmlformats.org/officeDocument/2006/relationships/hyperlink" Target="http://www.bav-astro.de/sfs/BAVM_link.php?BAVMnr=158" TargetMode="External" /><Relationship Id="rId3" Type="http://schemas.openxmlformats.org/officeDocument/2006/relationships/hyperlink" Target="http://www.bav-astro.de/sfs/BAVM_link.php?BAVMnr=158" TargetMode="External" /><Relationship Id="rId4" Type="http://schemas.openxmlformats.org/officeDocument/2006/relationships/hyperlink" Target="http://www.bav-astro.de/sfs/BAVM_link.php?BAVMnr=178" TargetMode="External" /><Relationship Id="rId5" Type="http://schemas.openxmlformats.org/officeDocument/2006/relationships/hyperlink" Target="http://www.bav-astro.de/sfs/BAVM_link.php?BAVMnr=178" TargetMode="External" /><Relationship Id="rId6" Type="http://schemas.openxmlformats.org/officeDocument/2006/relationships/hyperlink" Target="http://www.bav-astro.de/sfs/BAVM_link.php?BAVMnr=178" TargetMode="External" /><Relationship Id="rId7" Type="http://schemas.openxmlformats.org/officeDocument/2006/relationships/hyperlink" Target="http://www.bav-astro.de/sfs/BAVM_link.php?BAVMnr=193" TargetMode="External" /><Relationship Id="rId8" Type="http://schemas.openxmlformats.org/officeDocument/2006/relationships/hyperlink" Target="http://www.bav-astro.de/sfs/BAVM_link.php?BAVMnr=20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A1">
      <pane xSplit="14" ySplit="22" topLeftCell="O23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10" sqref="F10"/>
    </sheetView>
  </sheetViews>
  <sheetFormatPr defaultColWidth="10.28125" defaultRowHeight="12.75"/>
  <cols>
    <col min="1" max="1" width="14.421875" style="0" customWidth="1"/>
    <col min="2" max="2" width="5.140625" style="6" customWidth="1"/>
    <col min="3" max="3" width="11.8515625" style="0" customWidth="1"/>
    <col min="4" max="4" width="9.421875" style="0" customWidth="1"/>
    <col min="5" max="5" width="9.140625" style="0" customWidth="1"/>
    <col min="6" max="6" width="15.57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32</v>
      </c>
    </row>
    <row r="2" spans="1:2" ht="12.75">
      <c r="A2" t="s">
        <v>26</v>
      </c>
      <c r="B2" s="17" t="s">
        <v>33</v>
      </c>
    </row>
    <row r="4" spans="1:4" ht="12.75">
      <c r="A4" s="8" t="s">
        <v>1</v>
      </c>
      <c r="C4" s="3">
        <v>29223.319</v>
      </c>
      <c r="D4" s="4">
        <v>1.275083</v>
      </c>
    </row>
    <row r="5" spans="1:4" ht="12.75">
      <c r="A5" s="33" t="s">
        <v>145</v>
      </c>
      <c r="B5" s="18"/>
      <c r="C5" s="34">
        <v>-9.5</v>
      </c>
      <c r="D5" s="18" t="s">
        <v>146</v>
      </c>
    </row>
    <row r="6" ht="12.75">
      <c r="A6" s="8" t="s">
        <v>2</v>
      </c>
    </row>
    <row r="7" spans="1:3" ht="12.75">
      <c r="A7" t="s">
        <v>3</v>
      </c>
      <c r="C7">
        <f>+C4</f>
        <v>29223.319</v>
      </c>
    </row>
    <row r="8" spans="1:3" ht="12.75">
      <c r="A8" t="s">
        <v>4</v>
      </c>
      <c r="C8">
        <f>+D4</f>
        <v>1.275083</v>
      </c>
    </row>
    <row r="9" spans="1:4" ht="12.75">
      <c r="A9" s="35" t="s">
        <v>147</v>
      </c>
      <c r="B9" s="36">
        <v>38</v>
      </c>
      <c r="C9" s="37" t="str">
        <f>"F"&amp;B9</f>
        <v>F38</v>
      </c>
      <c r="D9" s="38" t="str">
        <f>"G"&amp;B9</f>
        <v>G38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17</v>
      </c>
      <c r="C11" s="43">
        <f ca="1">INTERCEPT(INDIRECT($D$9):G978,INDIRECT($C$9):F978)</f>
        <v>-0.010305661795035226</v>
      </c>
      <c r="D11" s="6"/>
    </row>
    <row r="12" spans="1:4" ht="12.75">
      <c r="A12" t="s">
        <v>18</v>
      </c>
      <c r="C12" s="43">
        <f ca="1">SLOPE(INDIRECT($D$9):G978,INDIRECT($C$9):F978)</f>
        <v>6.1661382639993055E-06</v>
      </c>
      <c r="D12" s="6"/>
    </row>
    <row r="13" spans="1:4" ht="12.75">
      <c r="A13" t="s">
        <v>20</v>
      </c>
      <c r="C13" s="6" t="s">
        <v>15</v>
      </c>
      <c r="D13" s="6"/>
    </row>
    <row r="14" ht="12.75">
      <c r="A14" t="s">
        <v>25</v>
      </c>
    </row>
    <row r="15" spans="1:6" ht="12.75">
      <c r="A15" s="5" t="s">
        <v>19</v>
      </c>
      <c r="C15" s="14">
        <f>(C7+C11)+(C8+C12)*INT(MAX(F21:F3533))</f>
        <v>57980.394658254474</v>
      </c>
      <c r="E15" s="39" t="s">
        <v>148</v>
      </c>
      <c r="F15" s="34">
        <v>1</v>
      </c>
    </row>
    <row r="16" spans="1:6" ht="12.75">
      <c r="A16" s="8" t="s">
        <v>5</v>
      </c>
      <c r="C16" s="15">
        <f>+C8+C12</f>
        <v>1.275089166138264</v>
      </c>
      <c r="E16" s="39" t="s">
        <v>149</v>
      </c>
      <c r="F16" s="40">
        <f ca="1">NOW()+15018.5+$C$5/24</f>
        <v>59896.78856851852</v>
      </c>
    </row>
    <row r="17" spans="1:6" ht="13.5" thickBot="1">
      <c r="A17" s="16" t="s">
        <v>31</v>
      </c>
      <c r="B17"/>
      <c r="C17">
        <f>COUNT(C21:C2191)</f>
        <v>27</v>
      </c>
      <c r="E17" s="39" t="s">
        <v>150</v>
      </c>
      <c r="F17" s="40">
        <f>ROUND(2*(F16-$C$7)/$C$8,0)/2+F15</f>
        <v>24057</v>
      </c>
    </row>
    <row r="18" spans="1:6" ht="12.75">
      <c r="A18" s="8" t="s">
        <v>6</v>
      </c>
      <c r="C18" s="3">
        <f>+C15</f>
        <v>57980.394658254474</v>
      </c>
      <c r="D18" s="4">
        <f>+C16</f>
        <v>1.275089166138264</v>
      </c>
      <c r="E18" s="39" t="s">
        <v>151</v>
      </c>
      <c r="F18" s="38">
        <f>ROUND(2*(F16-$C$15)/$C$16,0)/2+F15</f>
        <v>1504</v>
      </c>
    </row>
    <row r="19" spans="5:6" ht="13.5" thickTop="1">
      <c r="E19" s="39" t="s">
        <v>152</v>
      </c>
      <c r="F19" s="41">
        <f>+$C$15+$C$16*F18-15018.5-$C$5/24</f>
        <v>44880.02459745976</v>
      </c>
    </row>
    <row r="20" spans="1:21" ht="13.5" thickBot="1">
      <c r="A20" s="7" t="s">
        <v>7</v>
      </c>
      <c r="B20" s="7" t="s">
        <v>8</v>
      </c>
      <c r="C20" s="7" t="s">
        <v>9</v>
      </c>
      <c r="D20" s="7" t="s">
        <v>14</v>
      </c>
      <c r="E20" s="7" t="s">
        <v>10</v>
      </c>
      <c r="F20" s="7" t="s">
        <v>11</v>
      </c>
      <c r="G20" s="7" t="s">
        <v>12</v>
      </c>
      <c r="H20" s="10" t="s">
        <v>42</v>
      </c>
      <c r="I20" s="10" t="s">
        <v>45</v>
      </c>
      <c r="J20" s="10" t="s">
        <v>39</v>
      </c>
      <c r="K20" s="10" t="s">
        <v>37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16</v>
      </c>
      <c r="U20" s="42" t="s">
        <v>153</v>
      </c>
    </row>
    <row r="21" spans="1:17" ht="12.75">
      <c r="A21" s="32" t="s">
        <v>51</v>
      </c>
      <c r="B21" s="32" t="s">
        <v>144</v>
      </c>
      <c r="C21" s="32">
        <v>28054.053</v>
      </c>
      <c r="D21" s="32" t="s">
        <v>45</v>
      </c>
      <c r="E21">
        <f aca="true" t="shared" si="0" ref="E21:E46">+(C21-C$7)/C$8</f>
        <v>-917.0116768869161</v>
      </c>
      <c r="F21">
        <f aca="true" t="shared" si="1" ref="F21:F47">ROUND(2*E21,0)/2</f>
        <v>-917</v>
      </c>
      <c r="G21">
        <f aca="true" t="shared" si="2" ref="G21:G39">+C21-(C$7+F21*C$8)</f>
        <v>-0.014888999998220243</v>
      </c>
      <c r="H21" s="12">
        <f>G21</f>
        <v>-0.014888999998220243</v>
      </c>
      <c r="J21" s="6"/>
      <c r="O21">
        <f aca="true" t="shared" si="3" ref="O21:O46">+C$11+C$12*F21</f>
        <v>-0.01596001058312259</v>
      </c>
      <c r="Q21" s="2">
        <f aca="true" t="shared" si="4" ref="Q21:Q46">+C21-15018.5</f>
        <v>13035.553</v>
      </c>
    </row>
    <row r="22" spans="1:17" ht="12.75">
      <c r="A22" s="32" t="s">
        <v>51</v>
      </c>
      <c r="B22" s="32" t="s">
        <v>144</v>
      </c>
      <c r="C22" s="32">
        <v>28377.932</v>
      </c>
      <c r="D22" s="32" t="s">
        <v>45</v>
      </c>
      <c r="E22">
        <f t="shared" si="0"/>
        <v>-663.0054670950823</v>
      </c>
      <c r="F22">
        <f t="shared" si="1"/>
        <v>-663</v>
      </c>
      <c r="G22">
        <f t="shared" si="2"/>
        <v>-0.006970999998884508</v>
      </c>
      <c r="H22" s="12">
        <f>G22</f>
        <v>-0.006970999998884508</v>
      </c>
      <c r="J22" s="6"/>
      <c r="O22">
        <f t="shared" si="3"/>
        <v>-0.014393811464066765</v>
      </c>
      <c r="Q22" s="2">
        <f t="shared" si="4"/>
        <v>13359.432</v>
      </c>
    </row>
    <row r="23" spans="1:17" ht="12.75">
      <c r="A23" s="32" t="s">
        <v>51</v>
      </c>
      <c r="B23" s="32" t="s">
        <v>144</v>
      </c>
      <c r="C23" s="32">
        <v>28825.48</v>
      </c>
      <c r="D23" s="32" t="s">
        <v>45</v>
      </c>
      <c r="E23">
        <f t="shared" si="0"/>
        <v>-312.01027697804767</v>
      </c>
      <c r="F23">
        <f t="shared" si="1"/>
        <v>-312</v>
      </c>
      <c r="G23">
        <f t="shared" si="2"/>
        <v>-0.013104000001476379</v>
      </c>
      <c r="H23" s="12">
        <f>G23</f>
        <v>-0.013104000001476379</v>
      </c>
      <c r="J23" s="6"/>
      <c r="O23">
        <f t="shared" si="3"/>
        <v>-0.012229496933403009</v>
      </c>
      <c r="Q23" s="2">
        <f t="shared" si="4"/>
        <v>13806.98</v>
      </c>
    </row>
    <row r="24" spans="1:17" ht="12.75">
      <c r="A24" s="32" t="s">
        <v>51</v>
      </c>
      <c r="B24" s="32" t="s">
        <v>144</v>
      </c>
      <c r="C24" s="32">
        <v>29192.708</v>
      </c>
      <c r="D24" s="32" t="s">
        <v>45</v>
      </c>
      <c r="E24">
        <f t="shared" si="0"/>
        <v>-24.007064638145742</v>
      </c>
      <c r="F24">
        <f t="shared" si="1"/>
        <v>-24</v>
      </c>
      <c r="G24">
        <f t="shared" si="2"/>
        <v>-0.009008000000903849</v>
      </c>
      <c r="H24" s="12">
        <f>G24</f>
        <v>-0.009008000000903849</v>
      </c>
      <c r="J24" s="6"/>
      <c r="O24">
        <f t="shared" si="3"/>
        <v>-0.010453649113371209</v>
      </c>
      <c r="Q24" s="2">
        <f t="shared" si="4"/>
        <v>14174.207999999999</v>
      </c>
    </row>
    <row r="25" spans="1:17" ht="12.75">
      <c r="A25" t="s">
        <v>13</v>
      </c>
      <c r="C25">
        <v>29223.319</v>
      </c>
      <c r="D25" s="6" t="s">
        <v>15</v>
      </c>
      <c r="E25">
        <f t="shared" si="0"/>
        <v>0</v>
      </c>
      <c r="F25">
        <f t="shared" si="1"/>
        <v>0</v>
      </c>
      <c r="G25">
        <f t="shared" si="2"/>
        <v>0</v>
      </c>
      <c r="H25">
        <f>+G25</f>
        <v>0</v>
      </c>
      <c r="O25">
        <f t="shared" si="3"/>
        <v>-0.010305661795035226</v>
      </c>
      <c r="Q25" s="2">
        <f t="shared" si="4"/>
        <v>14204.819</v>
      </c>
    </row>
    <row r="26" spans="1:17" ht="12.75">
      <c r="A26" s="32" t="s">
        <v>51</v>
      </c>
      <c r="B26" s="32" t="s">
        <v>144</v>
      </c>
      <c r="C26" s="32">
        <v>29355.922</v>
      </c>
      <c r="D26" s="32" t="s">
        <v>45</v>
      </c>
      <c r="E26">
        <f t="shared" si="0"/>
        <v>103.99558303263329</v>
      </c>
      <c r="F26">
        <f t="shared" si="1"/>
        <v>104</v>
      </c>
      <c r="G26">
        <f t="shared" si="2"/>
        <v>-0.005632000000332482</v>
      </c>
      <c r="H26" s="12">
        <f>G26</f>
        <v>-0.005632000000332482</v>
      </c>
      <c r="J26" s="6"/>
      <c r="O26">
        <f t="shared" si="3"/>
        <v>-0.009664383415579299</v>
      </c>
      <c r="Q26" s="2">
        <f t="shared" si="4"/>
        <v>14337.421999999999</v>
      </c>
    </row>
    <row r="27" spans="1:17" ht="12.75">
      <c r="A27" s="32" t="s">
        <v>69</v>
      </c>
      <c r="B27" s="32" t="s">
        <v>144</v>
      </c>
      <c r="C27" s="32">
        <v>30169.464</v>
      </c>
      <c r="D27" s="32" t="s">
        <v>45</v>
      </c>
      <c r="E27">
        <f t="shared" si="0"/>
        <v>742.0262053529068</v>
      </c>
      <c r="F27">
        <f t="shared" si="1"/>
        <v>742</v>
      </c>
      <c r="G27">
        <f t="shared" si="2"/>
        <v>0.033414000001357635</v>
      </c>
      <c r="H27" s="12"/>
      <c r="I27" s="12">
        <f aca="true" t="shared" si="5" ref="I27:I37">G27</f>
        <v>0.033414000001357635</v>
      </c>
      <c r="J27" s="6"/>
      <c r="O27">
        <f t="shared" si="3"/>
        <v>-0.005730387203147741</v>
      </c>
      <c r="Q27" s="2">
        <f t="shared" si="4"/>
        <v>15150.964</v>
      </c>
    </row>
    <row r="28" spans="1:17" ht="12.75">
      <c r="A28" s="32" t="s">
        <v>69</v>
      </c>
      <c r="B28" s="32" t="s">
        <v>144</v>
      </c>
      <c r="C28" s="32">
        <v>30828.597</v>
      </c>
      <c r="D28" s="32" t="s">
        <v>45</v>
      </c>
      <c r="E28">
        <f t="shared" si="0"/>
        <v>1258.959612825206</v>
      </c>
      <c r="F28">
        <f t="shared" si="1"/>
        <v>1259</v>
      </c>
      <c r="G28">
        <f t="shared" si="2"/>
        <v>-0.0514969999967434</v>
      </c>
      <c r="H28" s="12"/>
      <c r="I28" s="12">
        <f t="shared" si="5"/>
        <v>-0.0514969999967434</v>
      </c>
      <c r="J28" s="6"/>
      <c r="O28">
        <f t="shared" si="3"/>
        <v>-0.0025424937206601</v>
      </c>
      <c r="Q28" s="2">
        <f t="shared" si="4"/>
        <v>15810.097000000002</v>
      </c>
    </row>
    <row r="29" spans="1:17" ht="12.75">
      <c r="A29" s="32" t="s">
        <v>69</v>
      </c>
      <c r="B29" s="32" t="s">
        <v>144</v>
      </c>
      <c r="C29" s="32">
        <v>31671.453</v>
      </c>
      <c r="D29" s="32" t="s">
        <v>45</v>
      </c>
      <c r="E29">
        <f t="shared" si="0"/>
        <v>1919.9801110986516</v>
      </c>
      <c r="F29">
        <f t="shared" si="1"/>
        <v>1920</v>
      </c>
      <c r="G29">
        <f t="shared" si="2"/>
        <v>-0.025359999999636784</v>
      </c>
      <c r="H29" s="12"/>
      <c r="I29" s="12">
        <f t="shared" si="5"/>
        <v>-0.025359999999636784</v>
      </c>
      <c r="J29" s="6"/>
      <c r="O29">
        <f t="shared" si="3"/>
        <v>0.0015333236718434399</v>
      </c>
      <c r="Q29" s="2">
        <f t="shared" si="4"/>
        <v>16652.953</v>
      </c>
    </row>
    <row r="30" spans="1:17" ht="12.75">
      <c r="A30" s="32" t="s">
        <v>69</v>
      </c>
      <c r="B30" s="32" t="s">
        <v>144</v>
      </c>
      <c r="C30" s="32">
        <v>31703.364</v>
      </c>
      <c r="D30" s="32" t="s">
        <v>45</v>
      </c>
      <c r="E30">
        <f t="shared" si="0"/>
        <v>1945.0067172097831</v>
      </c>
      <c r="F30">
        <f t="shared" si="1"/>
        <v>1945</v>
      </c>
      <c r="G30">
        <f t="shared" si="2"/>
        <v>0.008565000003727619</v>
      </c>
      <c r="H30" s="12"/>
      <c r="I30" s="12">
        <f t="shared" si="5"/>
        <v>0.008565000003727619</v>
      </c>
      <c r="J30" s="6"/>
      <c r="O30">
        <f t="shared" si="3"/>
        <v>0.001687477128443424</v>
      </c>
      <c r="Q30" s="2">
        <f t="shared" si="4"/>
        <v>16684.864</v>
      </c>
    </row>
    <row r="31" spans="1:17" ht="12.75">
      <c r="A31" s="32" t="s">
        <v>69</v>
      </c>
      <c r="B31" s="32" t="s">
        <v>144</v>
      </c>
      <c r="C31" s="32">
        <v>31763.285</v>
      </c>
      <c r="D31" s="32" t="s">
        <v>45</v>
      </c>
      <c r="E31">
        <f t="shared" si="0"/>
        <v>1992.0005207504141</v>
      </c>
      <c r="F31">
        <f t="shared" si="1"/>
        <v>1992</v>
      </c>
      <c r="G31">
        <f t="shared" si="2"/>
        <v>0.0006639999992330559</v>
      </c>
      <c r="H31" s="12"/>
      <c r="I31" s="12">
        <f t="shared" si="5"/>
        <v>0.0006639999992330559</v>
      </c>
      <c r="J31" s="6"/>
      <c r="O31">
        <f t="shared" si="3"/>
        <v>0.0019772856268513907</v>
      </c>
      <c r="Q31" s="2">
        <f t="shared" si="4"/>
        <v>16744.785</v>
      </c>
    </row>
    <row r="32" spans="1:17" ht="12.75">
      <c r="A32" s="32" t="s">
        <v>69</v>
      </c>
      <c r="B32" s="32" t="s">
        <v>144</v>
      </c>
      <c r="C32" s="32">
        <v>32297.525</v>
      </c>
      <c r="D32" s="32" t="s">
        <v>45</v>
      </c>
      <c r="E32">
        <f t="shared" si="0"/>
        <v>2410.9850103875606</v>
      </c>
      <c r="F32">
        <f t="shared" si="1"/>
        <v>2411</v>
      </c>
      <c r="G32">
        <f t="shared" si="2"/>
        <v>-0.019112999998469604</v>
      </c>
      <c r="H32" s="12"/>
      <c r="I32" s="12">
        <f t="shared" si="5"/>
        <v>-0.019112999998469604</v>
      </c>
      <c r="J32" s="6"/>
      <c r="O32">
        <f t="shared" si="3"/>
        <v>0.004560897559467099</v>
      </c>
      <c r="Q32" s="2">
        <f t="shared" si="4"/>
        <v>17279.025</v>
      </c>
    </row>
    <row r="33" spans="1:17" ht="12.75">
      <c r="A33" s="32" t="s">
        <v>69</v>
      </c>
      <c r="B33" s="32" t="s">
        <v>144</v>
      </c>
      <c r="C33" s="32">
        <v>32320.469</v>
      </c>
      <c r="D33" s="32" t="s">
        <v>45</v>
      </c>
      <c r="E33">
        <f t="shared" si="0"/>
        <v>2428.9791331231</v>
      </c>
      <c r="F33">
        <f t="shared" si="1"/>
        <v>2429</v>
      </c>
      <c r="G33">
        <f t="shared" si="2"/>
        <v>-0.02660699999978533</v>
      </c>
      <c r="H33" s="12"/>
      <c r="I33" s="12">
        <f t="shared" si="5"/>
        <v>-0.02660699999978533</v>
      </c>
      <c r="J33" s="6"/>
      <c r="O33">
        <f t="shared" si="3"/>
        <v>0.0046718880482190875</v>
      </c>
      <c r="Q33" s="2">
        <f t="shared" si="4"/>
        <v>17301.969</v>
      </c>
    </row>
    <row r="34" spans="1:17" ht="12.75">
      <c r="A34" s="32" t="s">
        <v>69</v>
      </c>
      <c r="B34" s="32" t="s">
        <v>144</v>
      </c>
      <c r="C34" s="32">
        <v>33186.33</v>
      </c>
      <c r="D34" s="32" t="s">
        <v>45</v>
      </c>
      <c r="E34">
        <f t="shared" si="0"/>
        <v>3108.041594155049</v>
      </c>
      <c r="F34">
        <f t="shared" si="1"/>
        <v>3108</v>
      </c>
      <c r="G34">
        <f t="shared" si="2"/>
        <v>0.053036000004794914</v>
      </c>
      <c r="H34" s="12"/>
      <c r="I34" s="12">
        <f t="shared" si="5"/>
        <v>0.053036000004794914</v>
      </c>
      <c r="J34" s="6"/>
      <c r="O34">
        <f t="shared" si="3"/>
        <v>0.008858695929474615</v>
      </c>
      <c r="Q34" s="2">
        <f t="shared" si="4"/>
        <v>18167.83</v>
      </c>
    </row>
    <row r="35" spans="1:17" ht="12.75">
      <c r="A35" s="32" t="s">
        <v>69</v>
      </c>
      <c r="B35" s="32" t="s">
        <v>144</v>
      </c>
      <c r="C35" s="32">
        <v>33831.453</v>
      </c>
      <c r="D35" s="32" t="s">
        <v>45</v>
      </c>
      <c r="E35">
        <f t="shared" si="0"/>
        <v>3613.9874815992384</v>
      </c>
      <c r="F35">
        <f t="shared" si="1"/>
        <v>3614</v>
      </c>
      <c r="G35">
        <f t="shared" si="2"/>
        <v>-0.015961999997671228</v>
      </c>
      <c r="H35" s="12"/>
      <c r="I35" s="12">
        <f t="shared" si="5"/>
        <v>-0.015961999997671228</v>
      </c>
      <c r="J35" s="6"/>
      <c r="O35">
        <f t="shared" si="3"/>
        <v>0.011978761891058263</v>
      </c>
      <c r="Q35" s="2">
        <f t="shared" si="4"/>
        <v>18812.953</v>
      </c>
    </row>
    <row r="36" spans="1:17" ht="12.75">
      <c r="A36" s="32" t="s">
        <v>69</v>
      </c>
      <c r="B36" s="32" t="s">
        <v>144</v>
      </c>
      <c r="C36" s="32">
        <v>33891.405</v>
      </c>
      <c r="D36" s="32" t="s">
        <v>45</v>
      </c>
      <c r="E36">
        <f t="shared" si="0"/>
        <v>3661.0055972826863</v>
      </c>
      <c r="F36">
        <f t="shared" si="1"/>
        <v>3661</v>
      </c>
      <c r="G36">
        <f t="shared" si="2"/>
        <v>0.007137000000511762</v>
      </c>
      <c r="H36" s="12"/>
      <c r="I36" s="12">
        <f t="shared" si="5"/>
        <v>0.007137000000511762</v>
      </c>
      <c r="J36" s="6"/>
      <c r="O36">
        <f t="shared" si="3"/>
        <v>0.012268570389466233</v>
      </c>
      <c r="Q36" s="2">
        <f t="shared" si="4"/>
        <v>18872.905</v>
      </c>
    </row>
    <row r="37" spans="1:17" ht="12.75">
      <c r="A37" s="32" t="s">
        <v>69</v>
      </c>
      <c r="B37" s="32" t="s">
        <v>144</v>
      </c>
      <c r="C37" s="32">
        <v>33896.452</v>
      </c>
      <c r="D37" s="32" t="s">
        <v>45</v>
      </c>
      <c r="E37">
        <f t="shared" si="0"/>
        <v>3664.963770985887</v>
      </c>
      <c r="F37">
        <f t="shared" si="1"/>
        <v>3665</v>
      </c>
      <c r="G37">
        <f t="shared" si="2"/>
        <v>-0.04619500000262633</v>
      </c>
      <c r="H37" s="12"/>
      <c r="I37" s="12">
        <f t="shared" si="5"/>
        <v>-0.04619500000262633</v>
      </c>
      <c r="J37" s="6"/>
      <c r="O37">
        <f t="shared" si="3"/>
        <v>0.012293234942522227</v>
      </c>
      <c r="Q37" s="2">
        <f t="shared" si="4"/>
        <v>18877.951999999997</v>
      </c>
    </row>
    <row r="38" spans="1:17" ht="12.75">
      <c r="A38" t="s">
        <v>30</v>
      </c>
      <c r="B38" s="11"/>
      <c r="C38" s="13">
        <v>50314.5607</v>
      </c>
      <c r="D38" s="13">
        <v>0.0002</v>
      </c>
      <c r="E38">
        <f t="shared" si="0"/>
        <v>16541.073561485802</v>
      </c>
      <c r="F38">
        <f t="shared" si="1"/>
        <v>16541</v>
      </c>
      <c r="G38">
        <f t="shared" si="2"/>
        <v>0.09379700000135927</v>
      </c>
      <c r="H38" s="12"/>
      <c r="J38" s="12">
        <f>G38</f>
        <v>0.09379700000135927</v>
      </c>
      <c r="O38">
        <f t="shared" si="3"/>
        <v>0.09168843122977728</v>
      </c>
      <c r="Q38" s="2">
        <f t="shared" si="4"/>
        <v>35296.0607</v>
      </c>
    </row>
    <row r="39" spans="1:17" ht="12.75">
      <c r="A39" t="s">
        <v>30</v>
      </c>
      <c r="B39" s="12"/>
      <c r="C39" s="13">
        <v>50712.3876</v>
      </c>
      <c r="D39" s="13">
        <v>0.0003</v>
      </c>
      <c r="E39">
        <f t="shared" si="0"/>
        <v>16853.074348885526</v>
      </c>
      <c r="F39">
        <f t="shared" si="1"/>
        <v>16853</v>
      </c>
      <c r="G39">
        <f t="shared" si="2"/>
        <v>0.09480099999927916</v>
      </c>
      <c r="H39" s="12"/>
      <c r="J39" s="12">
        <f>G39</f>
        <v>0.09480099999927916</v>
      </c>
      <c r="O39">
        <f t="shared" si="3"/>
        <v>0.09361226636814507</v>
      </c>
      <c r="Q39" s="2">
        <f t="shared" si="4"/>
        <v>35693.8876</v>
      </c>
    </row>
    <row r="40" spans="1:21" ht="12.75">
      <c r="A40" s="32" t="s">
        <v>115</v>
      </c>
      <c r="B40" s="32" t="s">
        <v>144</v>
      </c>
      <c r="C40" s="32">
        <v>51806.438</v>
      </c>
      <c r="D40" s="32" t="s">
        <v>45</v>
      </c>
      <c r="E40">
        <f t="shared" si="0"/>
        <v>17711.097238375856</v>
      </c>
      <c r="F40">
        <f t="shared" si="1"/>
        <v>17711</v>
      </c>
      <c r="H40" s="12"/>
      <c r="I40" s="12"/>
      <c r="J40" s="6"/>
      <c r="O40">
        <f t="shared" si="3"/>
        <v>0.09890281299865647</v>
      </c>
      <c r="Q40" s="2">
        <f t="shared" si="4"/>
        <v>36787.938</v>
      </c>
      <c r="U40">
        <f>+C40-(C$7+F40*C$8)</f>
        <v>0.12398700000630924</v>
      </c>
    </row>
    <row r="41" spans="1:17" ht="12.75">
      <c r="A41" t="s">
        <v>30</v>
      </c>
      <c r="B41" s="12"/>
      <c r="C41" s="13">
        <v>52112.4347</v>
      </c>
      <c r="D41" s="13">
        <v>0.0009</v>
      </c>
      <c r="E41">
        <f t="shared" si="0"/>
        <v>17951.079027796623</v>
      </c>
      <c r="F41">
        <f t="shared" si="1"/>
        <v>17951</v>
      </c>
      <c r="G41">
        <f>+C41-(C$7+F41*C$8)</f>
        <v>0.10076699999626726</v>
      </c>
      <c r="H41" s="12"/>
      <c r="J41" s="12">
        <f>G41</f>
        <v>0.10076699999626726</v>
      </c>
      <c r="O41">
        <f t="shared" si="3"/>
        <v>0.1003826861820163</v>
      </c>
      <c r="Q41" s="2">
        <f t="shared" si="4"/>
        <v>37093.9347</v>
      </c>
    </row>
    <row r="42" spans="1:17" ht="12.75">
      <c r="A42" s="18" t="s">
        <v>34</v>
      </c>
      <c r="B42" s="12"/>
      <c r="C42" s="11">
        <v>53655.2922</v>
      </c>
      <c r="D42" s="11">
        <v>0.0022</v>
      </c>
      <c r="E42">
        <f t="shared" si="0"/>
        <v>19161.084572533713</v>
      </c>
      <c r="F42">
        <f t="shared" si="1"/>
        <v>19161</v>
      </c>
      <c r="G42">
        <f>+C42-(C$7+F42*C$8)</f>
        <v>0.10783700000320096</v>
      </c>
      <c r="H42" s="12"/>
      <c r="J42" s="12">
        <f>G42</f>
        <v>0.10783700000320096</v>
      </c>
      <c r="O42">
        <f t="shared" si="3"/>
        <v>0.10784371348145547</v>
      </c>
      <c r="Q42" s="2">
        <f t="shared" si="4"/>
        <v>38636.7922</v>
      </c>
    </row>
    <row r="43" spans="1:17" ht="12.75">
      <c r="A43" s="18" t="s">
        <v>34</v>
      </c>
      <c r="B43" s="12"/>
      <c r="C43" s="11">
        <v>53660.3888</v>
      </c>
      <c r="D43" s="11">
        <v>0.0014</v>
      </c>
      <c r="E43">
        <f t="shared" si="0"/>
        <v>19165.08164566542</v>
      </c>
      <c r="F43">
        <f t="shared" si="1"/>
        <v>19165</v>
      </c>
      <c r="G43">
        <f>+C43-(C$7+F43*C$8)</f>
        <v>0.10410500000580214</v>
      </c>
      <c r="H43" s="12"/>
      <c r="J43" s="12">
        <f>G43</f>
        <v>0.10410500000580214</v>
      </c>
      <c r="O43">
        <f t="shared" si="3"/>
        <v>0.10786837803451146</v>
      </c>
      <c r="Q43" s="2">
        <f t="shared" si="4"/>
        <v>38641.8888</v>
      </c>
    </row>
    <row r="44" spans="1:17" ht="12.75">
      <c r="A44" s="18" t="s">
        <v>34</v>
      </c>
      <c r="B44" s="12"/>
      <c r="C44" s="11">
        <v>53920.5081</v>
      </c>
      <c r="D44" s="11">
        <v>0.0025</v>
      </c>
      <c r="E44">
        <f t="shared" si="0"/>
        <v>19369.083502799425</v>
      </c>
      <c r="F44">
        <f t="shared" si="1"/>
        <v>19369</v>
      </c>
      <c r="G44">
        <f>+C44-(C$7+F44*C$8)</f>
        <v>0.10647299999982351</v>
      </c>
      <c r="H44" s="12"/>
      <c r="J44" s="12">
        <f>G44</f>
        <v>0.10647299999982351</v>
      </c>
      <c r="O44">
        <f t="shared" si="3"/>
        <v>0.10912627024036732</v>
      </c>
      <c r="Q44" s="2">
        <f t="shared" si="4"/>
        <v>38902.0081</v>
      </c>
    </row>
    <row r="45" spans="1:21" ht="12.75">
      <c r="A45" s="32" t="s">
        <v>138</v>
      </c>
      <c r="B45" s="32" t="s">
        <v>144</v>
      </c>
      <c r="C45" s="32">
        <v>54240.568</v>
      </c>
      <c r="D45" s="32" t="s">
        <v>45</v>
      </c>
      <c r="E45">
        <f t="shared" si="0"/>
        <v>19620.094535022425</v>
      </c>
      <c r="F45">
        <f t="shared" si="1"/>
        <v>19620</v>
      </c>
      <c r="H45" s="12"/>
      <c r="I45" s="12"/>
      <c r="J45" s="6"/>
      <c r="O45">
        <f t="shared" si="3"/>
        <v>0.11067397094463115</v>
      </c>
      <c r="Q45" s="2">
        <f t="shared" si="4"/>
        <v>39222.068</v>
      </c>
      <c r="U45">
        <f>+C45-(C$7+F45*C$8)</f>
        <v>0.12054000000352971</v>
      </c>
    </row>
    <row r="46" spans="1:21" ht="12.75">
      <c r="A46" s="32" t="s">
        <v>143</v>
      </c>
      <c r="B46" s="32" t="s">
        <v>144</v>
      </c>
      <c r="C46" s="32">
        <v>54685.5691</v>
      </c>
      <c r="D46" s="32" t="s">
        <v>45</v>
      </c>
      <c r="E46">
        <f t="shared" si="0"/>
        <v>19969.09228654135</v>
      </c>
      <c r="F46">
        <f t="shared" si="1"/>
        <v>19969</v>
      </c>
      <c r="H46" s="12"/>
      <c r="J46" s="6"/>
      <c r="K46" s="12"/>
      <c r="O46">
        <f t="shared" si="3"/>
        <v>0.1128259531987669</v>
      </c>
      <c r="Q46" s="2">
        <f t="shared" si="4"/>
        <v>39667.0691</v>
      </c>
      <c r="U46">
        <f>+C46-(C$7+F46*C$8)</f>
        <v>0.11767300000065006</v>
      </c>
    </row>
    <row r="47" spans="1:17" ht="12.75">
      <c r="A47" s="44" t="s">
        <v>0</v>
      </c>
      <c r="B47" s="45" t="s">
        <v>144</v>
      </c>
      <c r="C47" s="45">
        <v>57980.3974</v>
      </c>
      <c r="D47" s="45">
        <v>0.0002</v>
      </c>
      <c r="E47">
        <f>+(C47-C$7)/C$8</f>
        <v>22553.10313132557</v>
      </c>
      <c r="F47">
        <f t="shared" si="1"/>
        <v>22553</v>
      </c>
      <c r="G47">
        <f>+C47-(C$7+F47*C$8)</f>
        <v>0.13150100000348175</v>
      </c>
      <c r="H47" s="12"/>
      <c r="K47" s="12">
        <f>G47</f>
        <v>0.13150100000348175</v>
      </c>
      <c r="O47">
        <f>+C$11+C$12*F47</f>
        <v>0.12875925447294112</v>
      </c>
      <c r="Q47" s="2">
        <f>+C47-15018.5</f>
        <v>42961.8974</v>
      </c>
    </row>
  </sheetData>
  <sheetProtection/>
  <hyperlinks>
    <hyperlink ref="H64639" r:id="rId1" display="http://vsolj.cetus-net.org/bulletin.html"/>
    <hyperlink ref="H64632" r:id="rId2" display="https://www.aavso.org/ejaavso"/>
    <hyperlink ref="AP783" r:id="rId3" display="http://cdsbib.u-strasbg.fr/cgi-bin/cdsbib?1990RMxAA..21..381G"/>
    <hyperlink ref="AP787" r:id="rId4" display="http://cdsbib.u-strasbg.fr/cgi-bin/cdsbib?1990RMxAA..21..381G"/>
    <hyperlink ref="AP786" r:id="rId5" display="http://cdsbib.u-strasbg.fr/cgi-bin/cdsbib?1990RMxAA..21..381G"/>
    <hyperlink ref="AP767" r:id="rId6" display="http://cdsbib.u-strasbg.fr/cgi-bin/cdsbib?1990RMxAA..21..381G"/>
    <hyperlink ref="I64639" r:id="rId7" display="http://vsolj.cetus-net.org/bulletin.html"/>
    <hyperlink ref="AQ923" r:id="rId8" display="http://cdsbib.u-strasbg.fr/cgi-bin/cdsbib?1990RMxAA..21..381G"/>
    <hyperlink ref="AQ55689" r:id="rId9" display="http://cdsbib.u-strasbg.fr/cgi-bin/cdsbib?1990RMxAA..21..381G"/>
    <hyperlink ref="AQ924" r:id="rId10" display="http://cdsbib.u-strasbg.fr/cgi-bin/cdsbib?1990RMxAA..21..381G"/>
    <hyperlink ref="H64636" r:id="rId11" display="https://www.aavso.org/ejaavso"/>
    <hyperlink ref="H1809" r:id="rId12" display="http://vsolj.cetus-net.org/bulletin.html"/>
    <hyperlink ref="AP3053" r:id="rId13" display="http://cdsbib.u-strasbg.fr/cgi-bin/cdsbib?1990RMxAA..21..381G"/>
    <hyperlink ref="AP3056" r:id="rId14" display="http://cdsbib.u-strasbg.fr/cgi-bin/cdsbib?1990RMxAA..21..381G"/>
    <hyperlink ref="AP3054" r:id="rId15" display="http://cdsbib.u-strasbg.fr/cgi-bin/cdsbib?1990RMxAA..21..381G"/>
    <hyperlink ref="AP3038" r:id="rId16" display="http://cdsbib.u-strasbg.fr/cgi-bin/cdsbib?1990RMxAA..21..381G"/>
    <hyperlink ref="I1809" r:id="rId17" display="http://vsolj.cetus-net.org/bulletin.html"/>
    <hyperlink ref="AQ3267" r:id="rId18" display="http://cdsbib.u-strasbg.fr/cgi-bin/cdsbib?1990RMxAA..21..381G"/>
    <hyperlink ref="AQ65504" r:id="rId19" display="http://cdsbib.u-strasbg.fr/cgi-bin/cdsbib?1990RMxAA..21..381G"/>
    <hyperlink ref="AQ3271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1"/>
  <sheetViews>
    <sheetView zoomScalePageLayoutView="0" workbookViewId="0" topLeftCell="A1">
      <selection activeCell="A17" sqref="A17:D35"/>
    </sheetView>
  </sheetViews>
  <sheetFormatPr defaultColWidth="9.140625" defaultRowHeight="12.75"/>
  <cols>
    <col min="1" max="1" width="19.7109375" style="11" customWidth="1"/>
    <col min="2" max="2" width="4.421875" style="18" customWidth="1"/>
    <col min="3" max="3" width="12.7109375" style="11" customWidth="1"/>
    <col min="4" max="4" width="5.421875" style="18" customWidth="1"/>
    <col min="5" max="5" width="14.8515625" style="18" customWidth="1"/>
    <col min="6" max="6" width="9.140625" style="18" customWidth="1"/>
    <col min="7" max="7" width="12.00390625" style="18" customWidth="1"/>
    <col min="8" max="8" width="14.140625" style="11" customWidth="1"/>
    <col min="9" max="9" width="22.57421875" style="18" customWidth="1"/>
    <col min="10" max="10" width="25.140625" style="18" customWidth="1"/>
    <col min="11" max="11" width="15.7109375" style="18" customWidth="1"/>
    <col min="12" max="12" width="14.140625" style="18" customWidth="1"/>
    <col min="13" max="13" width="9.57421875" style="18" customWidth="1"/>
    <col min="14" max="14" width="14.140625" style="18" customWidth="1"/>
    <col min="15" max="15" width="23.421875" style="18" customWidth="1"/>
    <col min="16" max="16" width="16.57421875" style="18" customWidth="1"/>
    <col min="17" max="17" width="41.00390625" style="18" customWidth="1"/>
    <col min="18" max="16384" width="9.140625" style="18" customWidth="1"/>
  </cols>
  <sheetData>
    <row r="1" spans="1:10" ht="15.75">
      <c r="A1" s="19" t="s">
        <v>35</v>
      </c>
      <c r="I1" s="20" t="s">
        <v>36</v>
      </c>
      <c r="J1" s="21" t="s">
        <v>37</v>
      </c>
    </row>
    <row r="2" spans="9:10" ht="12.75">
      <c r="I2" s="22" t="s">
        <v>38</v>
      </c>
      <c r="J2" s="23" t="s">
        <v>39</v>
      </c>
    </row>
    <row r="3" spans="1:10" ht="12.75">
      <c r="A3" s="24" t="s">
        <v>40</v>
      </c>
      <c r="I3" s="22" t="s">
        <v>41</v>
      </c>
      <c r="J3" s="23" t="s">
        <v>42</v>
      </c>
    </row>
    <row r="4" spans="9:10" ht="12.75">
      <c r="I4" s="22" t="s">
        <v>43</v>
      </c>
      <c r="J4" s="23" t="s">
        <v>42</v>
      </c>
    </row>
    <row r="5" spans="9:10" ht="13.5" thickBot="1">
      <c r="I5" s="25" t="s">
        <v>44</v>
      </c>
      <c r="J5" s="26" t="s">
        <v>45</v>
      </c>
    </row>
    <row r="10" ht="13.5" thickBot="1"/>
    <row r="11" spans="1:16" ht="12.75" customHeight="1" thickBot="1">
      <c r="A11" s="11" t="str">
        <f aca="true" t="shared" si="0" ref="A11:A35">P11</f>
        <v>BAVM 158 </v>
      </c>
      <c r="B11" s="6" t="str">
        <f aca="true" t="shared" si="1" ref="B11:B35">IF(H11=INT(H11),"I","II")</f>
        <v>I</v>
      </c>
      <c r="C11" s="11">
        <f aca="true" t="shared" si="2" ref="C11:C35">1*G11</f>
        <v>50314.5607</v>
      </c>
      <c r="D11" s="18" t="str">
        <f aca="true" t="shared" si="3" ref="D11:D35">VLOOKUP(F11,I$1:J$5,2,FALSE)</f>
        <v>vis</v>
      </c>
      <c r="E11" s="27">
        <f>VLOOKUP(C11,A!C$21:E$973,3,FALSE)</f>
        <v>16541.073561485802</v>
      </c>
      <c r="F11" s="6" t="s">
        <v>44</v>
      </c>
      <c r="G11" s="18" t="str">
        <f aca="true" t="shared" si="4" ref="G11:G35">MID(I11,3,LEN(I11)-3)</f>
        <v>50314.5607</v>
      </c>
      <c r="H11" s="11">
        <f aca="true" t="shared" si="5" ref="H11:H35">1*K11</f>
        <v>16541</v>
      </c>
      <c r="I11" s="28" t="s">
        <v>100</v>
      </c>
      <c r="J11" s="29" t="s">
        <v>101</v>
      </c>
      <c r="K11" s="28">
        <v>16541</v>
      </c>
      <c r="L11" s="28" t="s">
        <v>102</v>
      </c>
      <c r="M11" s="29" t="s">
        <v>103</v>
      </c>
      <c r="N11" s="29" t="s">
        <v>104</v>
      </c>
      <c r="O11" s="30" t="s">
        <v>105</v>
      </c>
      <c r="P11" s="31" t="s">
        <v>106</v>
      </c>
    </row>
    <row r="12" spans="1:16" ht="12.75" customHeight="1" thickBot="1">
      <c r="A12" s="11" t="str">
        <f t="shared" si="0"/>
        <v>BAVM 158 </v>
      </c>
      <c r="B12" s="6" t="str">
        <f t="shared" si="1"/>
        <v>I</v>
      </c>
      <c r="C12" s="11">
        <f t="shared" si="2"/>
        <v>50712.3876</v>
      </c>
      <c r="D12" s="18" t="str">
        <f t="shared" si="3"/>
        <v>vis</v>
      </c>
      <c r="E12" s="27">
        <f>VLOOKUP(C12,A!C$21:E$973,3,FALSE)</f>
        <v>16853.074348885526</v>
      </c>
      <c r="F12" s="6" t="s">
        <v>44</v>
      </c>
      <c r="G12" s="18" t="str">
        <f t="shared" si="4"/>
        <v>50712.3876</v>
      </c>
      <c r="H12" s="11">
        <f t="shared" si="5"/>
        <v>16853</v>
      </c>
      <c r="I12" s="28" t="s">
        <v>107</v>
      </c>
      <c r="J12" s="29" t="s">
        <v>108</v>
      </c>
      <c r="K12" s="28">
        <v>16853</v>
      </c>
      <c r="L12" s="28" t="s">
        <v>109</v>
      </c>
      <c r="M12" s="29" t="s">
        <v>103</v>
      </c>
      <c r="N12" s="29" t="s">
        <v>104</v>
      </c>
      <c r="O12" s="30" t="s">
        <v>105</v>
      </c>
      <c r="P12" s="31" t="s">
        <v>106</v>
      </c>
    </row>
    <row r="13" spans="1:16" ht="12.75" customHeight="1" thickBot="1">
      <c r="A13" s="11" t="str">
        <f t="shared" si="0"/>
        <v>BAVM 158 </v>
      </c>
      <c r="B13" s="6" t="str">
        <f t="shared" si="1"/>
        <v>I</v>
      </c>
      <c r="C13" s="11">
        <f t="shared" si="2"/>
        <v>52112.4347</v>
      </c>
      <c r="D13" s="18" t="str">
        <f t="shared" si="3"/>
        <v>vis</v>
      </c>
      <c r="E13" s="27">
        <f>VLOOKUP(C13,A!C$21:E$973,3,FALSE)</f>
        <v>17951.079027796623</v>
      </c>
      <c r="F13" s="6" t="s">
        <v>44</v>
      </c>
      <c r="G13" s="18" t="str">
        <f t="shared" si="4"/>
        <v>52112.4347</v>
      </c>
      <c r="H13" s="11">
        <f t="shared" si="5"/>
        <v>17951</v>
      </c>
      <c r="I13" s="28" t="s">
        <v>116</v>
      </c>
      <c r="J13" s="29" t="s">
        <v>117</v>
      </c>
      <c r="K13" s="28">
        <v>17951</v>
      </c>
      <c r="L13" s="28" t="s">
        <v>118</v>
      </c>
      <c r="M13" s="29" t="s">
        <v>103</v>
      </c>
      <c r="N13" s="29" t="s">
        <v>104</v>
      </c>
      <c r="O13" s="30" t="s">
        <v>105</v>
      </c>
      <c r="P13" s="31" t="s">
        <v>106</v>
      </c>
    </row>
    <row r="14" spans="1:16" ht="12.75" customHeight="1" thickBot="1">
      <c r="A14" s="11" t="str">
        <f t="shared" si="0"/>
        <v>BAVM 178 </v>
      </c>
      <c r="B14" s="6" t="str">
        <f t="shared" si="1"/>
        <v>I</v>
      </c>
      <c r="C14" s="11">
        <f t="shared" si="2"/>
        <v>53655.2922</v>
      </c>
      <c r="D14" s="18" t="str">
        <f t="shared" si="3"/>
        <v>vis</v>
      </c>
      <c r="E14" s="27">
        <f>VLOOKUP(C14,A!C$21:E$973,3,FALSE)</f>
        <v>19161.084572533713</v>
      </c>
      <c r="F14" s="6" t="s">
        <v>44</v>
      </c>
      <c r="G14" s="18" t="str">
        <f t="shared" si="4"/>
        <v>53655.2922</v>
      </c>
      <c r="H14" s="11">
        <f t="shared" si="5"/>
        <v>19161</v>
      </c>
      <c r="I14" s="28" t="s">
        <v>119</v>
      </c>
      <c r="J14" s="29" t="s">
        <v>120</v>
      </c>
      <c r="K14" s="28">
        <v>19161</v>
      </c>
      <c r="L14" s="28" t="s">
        <v>121</v>
      </c>
      <c r="M14" s="29" t="s">
        <v>122</v>
      </c>
      <c r="N14" s="29" t="s">
        <v>123</v>
      </c>
      <c r="O14" s="30" t="s">
        <v>105</v>
      </c>
      <c r="P14" s="31" t="s">
        <v>124</v>
      </c>
    </row>
    <row r="15" spans="1:16" ht="12.75" customHeight="1" thickBot="1">
      <c r="A15" s="11" t="str">
        <f t="shared" si="0"/>
        <v>BAVM 178 </v>
      </c>
      <c r="B15" s="6" t="str">
        <f t="shared" si="1"/>
        <v>I</v>
      </c>
      <c r="C15" s="11">
        <f t="shared" si="2"/>
        <v>53660.3888</v>
      </c>
      <c r="D15" s="18" t="str">
        <f t="shared" si="3"/>
        <v>vis</v>
      </c>
      <c r="E15" s="27">
        <f>VLOOKUP(C15,A!C$21:E$973,3,FALSE)</f>
        <v>19165.08164566542</v>
      </c>
      <c r="F15" s="6" t="s">
        <v>44</v>
      </c>
      <c r="G15" s="18" t="str">
        <f t="shared" si="4"/>
        <v>53660.3888</v>
      </c>
      <c r="H15" s="11">
        <f t="shared" si="5"/>
        <v>19165</v>
      </c>
      <c r="I15" s="28" t="s">
        <v>125</v>
      </c>
      <c r="J15" s="29" t="s">
        <v>126</v>
      </c>
      <c r="K15" s="28" t="s">
        <v>127</v>
      </c>
      <c r="L15" s="28" t="s">
        <v>128</v>
      </c>
      <c r="M15" s="29" t="s">
        <v>122</v>
      </c>
      <c r="N15" s="29" t="s">
        <v>123</v>
      </c>
      <c r="O15" s="30" t="s">
        <v>105</v>
      </c>
      <c r="P15" s="31" t="s">
        <v>124</v>
      </c>
    </row>
    <row r="16" spans="1:16" ht="12.75" customHeight="1" thickBot="1">
      <c r="A16" s="11" t="str">
        <f t="shared" si="0"/>
        <v>BAVM 178 </v>
      </c>
      <c r="B16" s="6" t="str">
        <f t="shared" si="1"/>
        <v>I</v>
      </c>
      <c r="C16" s="11">
        <f t="shared" si="2"/>
        <v>53920.5081</v>
      </c>
      <c r="D16" s="18" t="str">
        <f t="shared" si="3"/>
        <v>vis</v>
      </c>
      <c r="E16" s="27">
        <f>VLOOKUP(C16,A!C$21:E$973,3,FALSE)</f>
        <v>19369.083502799425</v>
      </c>
      <c r="F16" s="6" t="s">
        <v>44</v>
      </c>
      <c r="G16" s="18" t="str">
        <f t="shared" si="4"/>
        <v>53920.5081</v>
      </c>
      <c r="H16" s="11">
        <f t="shared" si="5"/>
        <v>19369</v>
      </c>
      <c r="I16" s="28" t="s">
        <v>129</v>
      </c>
      <c r="J16" s="29" t="s">
        <v>130</v>
      </c>
      <c r="K16" s="28" t="s">
        <v>131</v>
      </c>
      <c r="L16" s="28" t="s">
        <v>132</v>
      </c>
      <c r="M16" s="29" t="s">
        <v>122</v>
      </c>
      <c r="N16" s="29" t="s">
        <v>123</v>
      </c>
      <c r="O16" s="30" t="s">
        <v>105</v>
      </c>
      <c r="P16" s="31" t="s">
        <v>124</v>
      </c>
    </row>
    <row r="17" spans="1:16" ht="12.75" customHeight="1" thickBot="1">
      <c r="A17" s="11" t="str">
        <f t="shared" si="0"/>
        <v> AAAN 11.5.33 </v>
      </c>
      <c r="B17" s="6" t="str">
        <f t="shared" si="1"/>
        <v>I</v>
      </c>
      <c r="C17" s="11">
        <f t="shared" si="2"/>
        <v>28054.053</v>
      </c>
      <c r="D17" s="18" t="str">
        <f t="shared" si="3"/>
        <v>vis</v>
      </c>
      <c r="E17" s="27">
        <f>VLOOKUP(C17,A!C$21:E$973,3,FALSE)</f>
        <v>-917.0116768869161</v>
      </c>
      <c r="F17" s="6" t="s">
        <v>44</v>
      </c>
      <c r="G17" s="18" t="str">
        <f t="shared" si="4"/>
        <v>28054.053</v>
      </c>
      <c r="H17" s="11">
        <f t="shared" si="5"/>
        <v>-917</v>
      </c>
      <c r="I17" s="28" t="s">
        <v>47</v>
      </c>
      <c r="J17" s="29" t="s">
        <v>48</v>
      </c>
      <c r="K17" s="28">
        <v>-917</v>
      </c>
      <c r="L17" s="28" t="s">
        <v>49</v>
      </c>
      <c r="M17" s="29" t="s">
        <v>46</v>
      </c>
      <c r="N17" s="29"/>
      <c r="O17" s="30" t="s">
        <v>50</v>
      </c>
      <c r="P17" s="30" t="s">
        <v>51</v>
      </c>
    </row>
    <row r="18" spans="1:16" ht="12.75" customHeight="1" thickBot="1">
      <c r="A18" s="11" t="str">
        <f t="shared" si="0"/>
        <v> AAAN 11.5.33 </v>
      </c>
      <c r="B18" s="6" t="str">
        <f t="shared" si="1"/>
        <v>I</v>
      </c>
      <c r="C18" s="11">
        <f t="shared" si="2"/>
        <v>28377.932</v>
      </c>
      <c r="D18" s="18" t="str">
        <f t="shared" si="3"/>
        <v>vis</v>
      </c>
      <c r="E18" s="27">
        <f>VLOOKUP(C18,A!C$21:E$973,3,FALSE)</f>
        <v>-663.0054670950823</v>
      </c>
      <c r="F18" s="6" t="s">
        <v>44</v>
      </c>
      <c r="G18" s="18" t="str">
        <f t="shared" si="4"/>
        <v>28377.932</v>
      </c>
      <c r="H18" s="11">
        <f t="shared" si="5"/>
        <v>-663</v>
      </c>
      <c r="I18" s="28" t="s">
        <v>52</v>
      </c>
      <c r="J18" s="29" t="s">
        <v>53</v>
      </c>
      <c r="K18" s="28">
        <v>-663</v>
      </c>
      <c r="L18" s="28" t="s">
        <v>54</v>
      </c>
      <c r="M18" s="29" t="s">
        <v>46</v>
      </c>
      <c r="N18" s="29"/>
      <c r="O18" s="30" t="s">
        <v>50</v>
      </c>
      <c r="P18" s="30" t="s">
        <v>51</v>
      </c>
    </row>
    <row r="19" spans="1:16" ht="12.75" customHeight="1" thickBot="1">
      <c r="A19" s="11" t="str">
        <f t="shared" si="0"/>
        <v> AAAN 11.5.33 </v>
      </c>
      <c r="B19" s="6" t="str">
        <f t="shared" si="1"/>
        <v>I</v>
      </c>
      <c r="C19" s="11">
        <f t="shared" si="2"/>
        <v>28825.48</v>
      </c>
      <c r="D19" s="18" t="str">
        <f t="shared" si="3"/>
        <v>vis</v>
      </c>
      <c r="E19" s="27">
        <f>VLOOKUP(C19,A!C$21:E$973,3,FALSE)</f>
        <v>-312.01027697804767</v>
      </c>
      <c r="F19" s="6" t="s">
        <v>44</v>
      </c>
      <c r="G19" s="18" t="str">
        <f t="shared" si="4"/>
        <v>28825.480</v>
      </c>
      <c r="H19" s="11">
        <f t="shared" si="5"/>
        <v>-312</v>
      </c>
      <c r="I19" s="28" t="s">
        <v>55</v>
      </c>
      <c r="J19" s="29" t="s">
        <v>56</v>
      </c>
      <c r="K19" s="28">
        <v>-312</v>
      </c>
      <c r="L19" s="28" t="s">
        <v>57</v>
      </c>
      <c r="M19" s="29" t="s">
        <v>46</v>
      </c>
      <c r="N19" s="29"/>
      <c r="O19" s="30" t="s">
        <v>50</v>
      </c>
      <c r="P19" s="30" t="s">
        <v>51</v>
      </c>
    </row>
    <row r="20" spans="1:16" ht="12.75" customHeight="1" thickBot="1">
      <c r="A20" s="11" t="str">
        <f t="shared" si="0"/>
        <v> AAAN 11.5.33 </v>
      </c>
      <c r="B20" s="6" t="str">
        <f t="shared" si="1"/>
        <v>I</v>
      </c>
      <c r="C20" s="11">
        <f t="shared" si="2"/>
        <v>29192.708</v>
      </c>
      <c r="D20" s="18" t="str">
        <f t="shared" si="3"/>
        <v>vis</v>
      </c>
      <c r="E20" s="27">
        <f>VLOOKUP(C20,A!C$21:E$973,3,FALSE)</f>
        <v>-24.007064638145742</v>
      </c>
      <c r="F20" s="6" t="s">
        <v>44</v>
      </c>
      <c r="G20" s="18" t="str">
        <f t="shared" si="4"/>
        <v>29192.708</v>
      </c>
      <c r="H20" s="11">
        <f t="shared" si="5"/>
        <v>-24</v>
      </c>
      <c r="I20" s="28" t="s">
        <v>58</v>
      </c>
      <c r="J20" s="29" t="s">
        <v>59</v>
      </c>
      <c r="K20" s="28">
        <v>-24</v>
      </c>
      <c r="L20" s="28" t="s">
        <v>60</v>
      </c>
      <c r="M20" s="29" t="s">
        <v>46</v>
      </c>
      <c r="N20" s="29"/>
      <c r="O20" s="30" t="s">
        <v>50</v>
      </c>
      <c r="P20" s="30" t="s">
        <v>51</v>
      </c>
    </row>
    <row r="21" spans="1:16" ht="12.75" customHeight="1" thickBot="1">
      <c r="A21" s="11" t="str">
        <f t="shared" si="0"/>
        <v> AAAN 11.5.33 </v>
      </c>
      <c r="B21" s="6" t="str">
        <f t="shared" si="1"/>
        <v>I</v>
      </c>
      <c r="C21" s="11">
        <f t="shared" si="2"/>
        <v>29355.922</v>
      </c>
      <c r="D21" s="18" t="str">
        <f t="shared" si="3"/>
        <v>vis</v>
      </c>
      <c r="E21" s="27">
        <f>VLOOKUP(C21,A!C$21:E$973,3,FALSE)</f>
        <v>103.99558303263329</v>
      </c>
      <c r="F21" s="6" t="s">
        <v>44</v>
      </c>
      <c r="G21" s="18" t="str">
        <f t="shared" si="4"/>
        <v>29355.922</v>
      </c>
      <c r="H21" s="11">
        <f t="shared" si="5"/>
        <v>104</v>
      </c>
      <c r="I21" s="28" t="s">
        <v>61</v>
      </c>
      <c r="J21" s="29" t="s">
        <v>62</v>
      </c>
      <c r="K21" s="28">
        <v>104</v>
      </c>
      <c r="L21" s="28" t="s">
        <v>63</v>
      </c>
      <c r="M21" s="29" t="s">
        <v>46</v>
      </c>
      <c r="N21" s="29"/>
      <c r="O21" s="30" t="s">
        <v>50</v>
      </c>
      <c r="P21" s="30" t="s">
        <v>51</v>
      </c>
    </row>
    <row r="22" spans="1:16" ht="12.75" customHeight="1" thickBot="1">
      <c r="A22" s="11" t="str">
        <f t="shared" si="0"/>
        <v> VSS 2.142 </v>
      </c>
      <c r="B22" s="6" t="str">
        <f t="shared" si="1"/>
        <v>I</v>
      </c>
      <c r="C22" s="11">
        <f t="shared" si="2"/>
        <v>30169.464</v>
      </c>
      <c r="D22" s="18" t="str">
        <f t="shared" si="3"/>
        <v>vis</v>
      </c>
      <c r="E22" s="27">
        <f>VLOOKUP(C22,A!C$21:E$973,3,FALSE)</f>
        <v>742.0262053529068</v>
      </c>
      <c r="F22" s="6" t="s">
        <v>44</v>
      </c>
      <c r="G22" s="18" t="str">
        <f t="shared" si="4"/>
        <v>30169.464</v>
      </c>
      <c r="H22" s="11">
        <f t="shared" si="5"/>
        <v>742</v>
      </c>
      <c r="I22" s="28" t="s">
        <v>64</v>
      </c>
      <c r="J22" s="29" t="s">
        <v>65</v>
      </c>
      <c r="K22" s="28">
        <v>742</v>
      </c>
      <c r="L22" s="28" t="s">
        <v>66</v>
      </c>
      <c r="M22" s="29" t="s">
        <v>67</v>
      </c>
      <c r="N22" s="29"/>
      <c r="O22" s="30" t="s">
        <v>68</v>
      </c>
      <c r="P22" s="30" t="s">
        <v>69</v>
      </c>
    </row>
    <row r="23" spans="1:16" ht="12.75" customHeight="1" thickBot="1">
      <c r="A23" s="11" t="str">
        <f t="shared" si="0"/>
        <v> VSS 2.142 </v>
      </c>
      <c r="B23" s="6" t="str">
        <f t="shared" si="1"/>
        <v>I</v>
      </c>
      <c r="C23" s="11">
        <f t="shared" si="2"/>
        <v>30828.597</v>
      </c>
      <c r="D23" s="18" t="str">
        <f t="shared" si="3"/>
        <v>vis</v>
      </c>
      <c r="E23" s="27">
        <f>VLOOKUP(C23,A!C$21:E$973,3,FALSE)</f>
        <v>1258.959612825206</v>
      </c>
      <c r="F23" s="6" t="s">
        <v>44</v>
      </c>
      <c r="G23" s="18" t="str">
        <f t="shared" si="4"/>
        <v>30828.597</v>
      </c>
      <c r="H23" s="11">
        <f t="shared" si="5"/>
        <v>1259</v>
      </c>
      <c r="I23" s="28" t="s">
        <v>70</v>
      </c>
      <c r="J23" s="29" t="s">
        <v>71</v>
      </c>
      <c r="K23" s="28">
        <v>1259</v>
      </c>
      <c r="L23" s="28" t="s">
        <v>72</v>
      </c>
      <c r="M23" s="29" t="s">
        <v>67</v>
      </c>
      <c r="N23" s="29"/>
      <c r="O23" s="30" t="s">
        <v>68</v>
      </c>
      <c r="P23" s="30" t="s">
        <v>69</v>
      </c>
    </row>
    <row r="24" spans="1:16" ht="12.75" customHeight="1" thickBot="1">
      <c r="A24" s="11" t="str">
        <f t="shared" si="0"/>
        <v> VSS 2.142 </v>
      </c>
      <c r="B24" s="6" t="str">
        <f t="shared" si="1"/>
        <v>I</v>
      </c>
      <c r="C24" s="11">
        <f t="shared" si="2"/>
        <v>31671.453</v>
      </c>
      <c r="D24" s="18" t="str">
        <f t="shared" si="3"/>
        <v>vis</v>
      </c>
      <c r="E24" s="27">
        <f>VLOOKUP(C24,A!C$21:E$973,3,FALSE)</f>
        <v>1919.9801110986516</v>
      </c>
      <c r="F24" s="6" t="s">
        <v>44</v>
      </c>
      <c r="G24" s="18" t="str">
        <f t="shared" si="4"/>
        <v>31671.453</v>
      </c>
      <c r="H24" s="11">
        <f t="shared" si="5"/>
        <v>1920</v>
      </c>
      <c r="I24" s="28" t="s">
        <v>73</v>
      </c>
      <c r="J24" s="29" t="s">
        <v>74</v>
      </c>
      <c r="K24" s="28">
        <v>1920</v>
      </c>
      <c r="L24" s="28" t="s">
        <v>75</v>
      </c>
      <c r="M24" s="29" t="s">
        <v>67</v>
      </c>
      <c r="N24" s="29"/>
      <c r="O24" s="30" t="s">
        <v>68</v>
      </c>
      <c r="P24" s="30" t="s">
        <v>69</v>
      </c>
    </row>
    <row r="25" spans="1:16" ht="12.75" customHeight="1" thickBot="1">
      <c r="A25" s="11" t="str">
        <f t="shared" si="0"/>
        <v> VSS 2.142 </v>
      </c>
      <c r="B25" s="6" t="str">
        <f t="shared" si="1"/>
        <v>I</v>
      </c>
      <c r="C25" s="11">
        <f t="shared" si="2"/>
        <v>31703.364</v>
      </c>
      <c r="D25" s="18" t="str">
        <f t="shared" si="3"/>
        <v>vis</v>
      </c>
      <c r="E25" s="27">
        <f>VLOOKUP(C25,A!C$21:E$973,3,FALSE)</f>
        <v>1945.0067172097831</v>
      </c>
      <c r="F25" s="6" t="s">
        <v>44</v>
      </c>
      <c r="G25" s="18" t="str">
        <f t="shared" si="4"/>
        <v>31703.364</v>
      </c>
      <c r="H25" s="11">
        <f t="shared" si="5"/>
        <v>1945</v>
      </c>
      <c r="I25" s="28" t="s">
        <v>76</v>
      </c>
      <c r="J25" s="29" t="s">
        <v>77</v>
      </c>
      <c r="K25" s="28">
        <v>1945</v>
      </c>
      <c r="L25" s="28" t="s">
        <v>78</v>
      </c>
      <c r="M25" s="29" t="s">
        <v>67</v>
      </c>
      <c r="N25" s="29"/>
      <c r="O25" s="30" t="s">
        <v>68</v>
      </c>
      <c r="P25" s="30" t="s">
        <v>69</v>
      </c>
    </row>
    <row r="26" spans="1:16" ht="12.75" customHeight="1" thickBot="1">
      <c r="A26" s="11" t="str">
        <f t="shared" si="0"/>
        <v> VSS 2.142 </v>
      </c>
      <c r="B26" s="6" t="str">
        <f t="shared" si="1"/>
        <v>I</v>
      </c>
      <c r="C26" s="11">
        <f t="shared" si="2"/>
        <v>31763.285</v>
      </c>
      <c r="D26" s="18" t="str">
        <f t="shared" si="3"/>
        <v>vis</v>
      </c>
      <c r="E26" s="27">
        <f>VLOOKUP(C26,A!C$21:E$973,3,FALSE)</f>
        <v>1992.0005207504141</v>
      </c>
      <c r="F26" s="6" t="s">
        <v>44</v>
      </c>
      <c r="G26" s="18" t="str">
        <f t="shared" si="4"/>
        <v>31763.285</v>
      </c>
      <c r="H26" s="11">
        <f t="shared" si="5"/>
        <v>1992</v>
      </c>
      <c r="I26" s="28" t="s">
        <v>79</v>
      </c>
      <c r="J26" s="29" t="s">
        <v>80</v>
      </c>
      <c r="K26" s="28">
        <v>1992</v>
      </c>
      <c r="L26" s="28" t="s">
        <v>81</v>
      </c>
      <c r="M26" s="29" t="s">
        <v>67</v>
      </c>
      <c r="N26" s="29"/>
      <c r="O26" s="30" t="s">
        <v>68</v>
      </c>
      <c r="P26" s="30" t="s">
        <v>69</v>
      </c>
    </row>
    <row r="27" spans="1:16" ht="12.75" customHeight="1" thickBot="1">
      <c r="A27" s="11" t="str">
        <f t="shared" si="0"/>
        <v> VSS 2.142 </v>
      </c>
      <c r="B27" s="6" t="str">
        <f t="shared" si="1"/>
        <v>I</v>
      </c>
      <c r="C27" s="11">
        <f t="shared" si="2"/>
        <v>32297.525</v>
      </c>
      <c r="D27" s="18" t="str">
        <f t="shared" si="3"/>
        <v>vis</v>
      </c>
      <c r="E27" s="27">
        <f>VLOOKUP(C27,A!C$21:E$973,3,FALSE)</f>
        <v>2410.9850103875606</v>
      </c>
      <c r="F27" s="6" t="s">
        <v>44</v>
      </c>
      <c r="G27" s="18" t="str">
        <f t="shared" si="4"/>
        <v>32297.525</v>
      </c>
      <c r="H27" s="11">
        <f t="shared" si="5"/>
        <v>2411</v>
      </c>
      <c r="I27" s="28" t="s">
        <v>82</v>
      </c>
      <c r="J27" s="29" t="s">
        <v>83</v>
      </c>
      <c r="K27" s="28">
        <v>2411</v>
      </c>
      <c r="L27" s="28" t="s">
        <v>84</v>
      </c>
      <c r="M27" s="29" t="s">
        <v>67</v>
      </c>
      <c r="N27" s="29"/>
      <c r="O27" s="30" t="s">
        <v>68</v>
      </c>
      <c r="P27" s="30" t="s">
        <v>69</v>
      </c>
    </row>
    <row r="28" spans="1:16" ht="12.75" customHeight="1" thickBot="1">
      <c r="A28" s="11" t="str">
        <f t="shared" si="0"/>
        <v> VSS 2.142 </v>
      </c>
      <c r="B28" s="6" t="str">
        <f t="shared" si="1"/>
        <v>I</v>
      </c>
      <c r="C28" s="11">
        <f t="shared" si="2"/>
        <v>32320.469</v>
      </c>
      <c r="D28" s="18" t="str">
        <f t="shared" si="3"/>
        <v>vis</v>
      </c>
      <c r="E28" s="27">
        <f>VLOOKUP(C28,A!C$21:E$973,3,FALSE)</f>
        <v>2428.9791331231</v>
      </c>
      <c r="F28" s="6" t="s">
        <v>44</v>
      </c>
      <c r="G28" s="18" t="str">
        <f t="shared" si="4"/>
        <v>32320.469</v>
      </c>
      <c r="H28" s="11">
        <f t="shared" si="5"/>
        <v>2429</v>
      </c>
      <c r="I28" s="28" t="s">
        <v>85</v>
      </c>
      <c r="J28" s="29" t="s">
        <v>86</v>
      </c>
      <c r="K28" s="28">
        <v>2429</v>
      </c>
      <c r="L28" s="28" t="s">
        <v>87</v>
      </c>
      <c r="M28" s="29" t="s">
        <v>67</v>
      </c>
      <c r="N28" s="29"/>
      <c r="O28" s="30" t="s">
        <v>68</v>
      </c>
      <c r="P28" s="30" t="s">
        <v>69</v>
      </c>
    </row>
    <row r="29" spans="1:16" ht="12.75" customHeight="1" thickBot="1">
      <c r="A29" s="11" t="str">
        <f t="shared" si="0"/>
        <v> VSS 2.142 </v>
      </c>
      <c r="B29" s="6" t="str">
        <f t="shared" si="1"/>
        <v>I</v>
      </c>
      <c r="C29" s="11">
        <f t="shared" si="2"/>
        <v>33186.33</v>
      </c>
      <c r="D29" s="18" t="str">
        <f t="shared" si="3"/>
        <v>vis</v>
      </c>
      <c r="E29" s="27">
        <f>VLOOKUP(C29,A!C$21:E$973,3,FALSE)</f>
        <v>3108.041594155049</v>
      </c>
      <c r="F29" s="6" t="s">
        <v>44</v>
      </c>
      <c r="G29" s="18" t="str">
        <f t="shared" si="4"/>
        <v>33186.330</v>
      </c>
      <c r="H29" s="11">
        <f t="shared" si="5"/>
        <v>3108</v>
      </c>
      <c r="I29" s="28" t="s">
        <v>88</v>
      </c>
      <c r="J29" s="29" t="s">
        <v>89</v>
      </c>
      <c r="K29" s="28">
        <v>3108</v>
      </c>
      <c r="L29" s="28" t="s">
        <v>90</v>
      </c>
      <c r="M29" s="29" t="s">
        <v>67</v>
      </c>
      <c r="N29" s="29"/>
      <c r="O29" s="30" t="s">
        <v>68</v>
      </c>
      <c r="P29" s="30" t="s">
        <v>69</v>
      </c>
    </row>
    <row r="30" spans="1:16" ht="12.75" customHeight="1" thickBot="1">
      <c r="A30" s="11" t="str">
        <f t="shared" si="0"/>
        <v> VSS 2.142 </v>
      </c>
      <c r="B30" s="6" t="str">
        <f t="shared" si="1"/>
        <v>I</v>
      </c>
      <c r="C30" s="11">
        <f t="shared" si="2"/>
        <v>33831.453</v>
      </c>
      <c r="D30" s="18" t="str">
        <f t="shared" si="3"/>
        <v>vis</v>
      </c>
      <c r="E30" s="27">
        <f>VLOOKUP(C30,A!C$21:E$973,3,FALSE)</f>
        <v>3613.9874815992384</v>
      </c>
      <c r="F30" s="6" t="s">
        <v>44</v>
      </c>
      <c r="G30" s="18" t="str">
        <f t="shared" si="4"/>
        <v>33831.453</v>
      </c>
      <c r="H30" s="11">
        <f t="shared" si="5"/>
        <v>3614</v>
      </c>
      <c r="I30" s="28" t="s">
        <v>91</v>
      </c>
      <c r="J30" s="29" t="s">
        <v>92</v>
      </c>
      <c r="K30" s="28">
        <v>3614</v>
      </c>
      <c r="L30" s="28" t="s">
        <v>93</v>
      </c>
      <c r="M30" s="29" t="s">
        <v>67</v>
      </c>
      <c r="N30" s="29"/>
      <c r="O30" s="30" t="s">
        <v>68</v>
      </c>
      <c r="P30" s="30" t="s">
        <v>69</v>
      </c>
    </row>
    <row r="31" spans="1:16" ht="12.75" customHeight="1" thickBot="1">
      <c r="A31" s="11" t="str">
        <f t="shared" si="0"/>
        <v> VSS 2.142 </v>
      </c>
      <c r="B31" s="6" t="str">
        <f t="shared" si="1"/>
        <v>I</v>
      </c>
      <c r="C31" s="11">
        <f t="shared" si="2"/>
        <v>33891.405</v>
      </c>
      <c r="D31" s="18" t="str">
        <f t="shared" si="3"/>
        <v>vis</v>
      </c>
      <c r="E31" s="27">
        <f>VLOOKUP(C31,A!C$21:E$973,3,FALSE)</f>
        <v>3661.0055972826863</v>
      </c>
      <c r="F31" s="6" t="s">
        <v>44</v>
      </c>
      <c r="G31" s="18" t="str">
        <f t="shared" si="4"/>
        <v>33891.405</v>
      </c>
      <c r="H31" s="11">
        <f t="shared" si="5"/>
        <v>3661</v>
      </c>
      <c r="I31" s="28" t="s">
        <v>94</v>
      </c>
      <c r="J31" s="29" t="s">
        <v>95</v>
      </c>
      <c r="K31" s="28">
        <v>3661</v>
      </c>
      <c r="L31" s="28" t="s">
        <v>96</v>
      </c>
      <c r="M31" s="29" t="s">
        <v>67</v>
      </c>
      <c r="N31" s="29"/>
      <c r="O31" s="30" t="s">
        <v>68</v>
      </c>
      <c r="P31" s="30" t="s">
        <v>69</v>
      </c>
    </row>
    <row r="32" spans="1:16" ht="12.75" customHeight="1" thickBot="1">
      <c r="A32" s="11" t="str">
        <f t="shared" si="0"/>
        <v> VSS 2.142 </v>
      </c>
      <c r="B32" s="6" t="str">
        <f t="shared" si="1"/>
        <v>I</v>
      </c>
      <c r="C32" s="11">
        <f t="shared" si="2"/>
        <v>33896.452</v>
      </c>
      <c r="D32" s="18" t="str">
        <f t="shared" si="3"/>
        <v>vis</v>
      </c>
      <c r="E32" s="27">
        <f>VLOOKUP(C32,A!C$21:E$973,3,FALSE)</f>
        <v>3664.963770985887</v>
      </c>
      <c r="F32" s="6" t="s">
        <v>44</v>
      </c>
      <c r="G32" s="18" t="str">
        <f t="shared" si="4"/>
        <v>33896.452</v>
      </c>
      <c r="H32" s="11">
        <f t="shared" si="5"/>
        <v>3665</v>
      </c>
      <c r="I32" s="28" t="s">
        <v>97</v>
      </c>
      <c r="J32" s="29" t="s">
        <v>98</v>
      </c>
      <c r="K32" s="28">
        <v>3665</v>
      </c>
      <c r="L32" s="28" t="s">
        <v>99</v>
      </c>
      <c r="M32" s="29" t="s">
        <v>67</v>
      </c>
      <c r="N32" s="29"/>
      <c r="O32" s="30" t="s">
        <v>68</v>
      </c>
      <c r="P32" s="30" t="s">
        <v>69</v>
      </c>
    </row>
    <row r="33" spans="1:16" ht="12.75" customHeight="1" thickBot="1">
      <c r="A33" s="11" t="str">
        <f t="shared" si="0"/>
        <v> BBS 123 </v>
      </c>
      <c r="B33" s="6" t="str">
        <f t="shared" si="1"/>
        <v>I</v>
      </c>
      <c r="C33" s="11">
        <f t="shared" si="2"/>
        <v>51806.438</v>
      </c>
      <c r="D33" s="18" t="str">
        <f t="shared" si="3"/>
        <v>vis</v>
      </c>
      <c r="E33" s="27">
        <f>VLOOKUP(C33,A!C$21:E$973,3,FALSE)</f>
        <v>17711.097238375856</v>
      </c>
      <c r="F33" s="6" t="s">
        <v>44</v>
      </c>
      <c r="G33" s="18" t="str">
        <f t="shared" si="4"/>
        <v>51806.438</v>
      </c>
      <c r="H33" s="11">
        <f t="shared" si="5"/>
        <v>17711</v>
      </c>
      <c r="I33" s="28" t="s">
        <v>110</v>
      </c>
      <c r="J33" s="29" t="s">
        <v>111</v>
      </c>
      <c r="K33" s="28">
        <v>17711</v>
      </c>
      <c r="L33" s="28" t="s">
        <v>112</v>
      </c>
      <c r="M33" s="29" t="s">
        <v>103</v>
      </c>
      <c r="N33" s="29" t="s">
        <v>113</v>
      </c>
      <c r="O33" s="30" t="s">
        <v>114</v>
      </c>
      <c r="P33" s="30" t="s">
        <v>115</v>
      </c>
    </row>
    <row r="34" spans="1:16" ht="12.75" customHeight="1" thickBot="1">
      <c r="A34" s="11" t="str">
        <f t="shared" si="0"/>
        <v>BAVM 193 </v>
      </c>
      <c r="B34" s="6" t="str">
        <f t="shared" si="1"/>
        <v>I</v>
      </c>
      <c r="C34" s="11">
        <f t="shared" si="2"/>
        <v>54240.568</v>
      </c>
      <c r="D34" s="18" t="str">
        <f t="shared" si="3"/>
        <v>vis</v>
      </c>
      <c r="E34" s="27">
        <f>VLOOKUP(C34,A!C$21:E$973,3,FALSE)</f>
        <v>19620.094535022425</v>
      </c>
      <c r="F34" s="6" t="s">
        <v>44</v>
      </c>
      <c r="G34" s="18" t="str">
        <f t="shared" si="4"/>
        <v>54240.5680</v>
      </c>
      <c r="H34" s="11">
        <f t="shared" si="5"/>
        <v>19620</v>
      </c>
      <c r="I34" s="28" t="s">
        <v>133</v>
      </c>
      <c r="J34" s="29" t="s">
        <v>134</v>
      </c>
      <c r="K34" s="28" t="s">
        <v>135</v>
      </c>
      <c r="L34" s="28" t="s">
        <v>136</v>
      </c>
      <c r="M34" s="29" t="s">
        <v>122</v>
      </c>
      <c r="N34" s="29" t="s">
        <v>104</v>
      </c>
      <c r="O34" s="30" t="s">
        <v>137</v>
      </c>
      <c r="P34" s="31" t="s">
        <v>138</v>
      </c>
    </row>
    <row r="35" spans="1:16" ht="12.75" customHeight="1" thickBot="1">
      <c r="A35" s="11" t="str">
        <f t="shared" si="0"/>
        <v>BAVM 203 </v>
      </c>
      <c r="B35" s="6" t="str">
        <f t="shared" si="1"/>
        <v>I</v>
      </c>
      <c r="C35" s="11">
        <f t="shared" si="2"/>
        <v>54685.5691</v>
      </c>
      <c r="D35" s="18" t="str">
        <f t="shared" si="3"/>
        <v>vis</v>
      </c>
      <c r="E35" s="27">
        <f>VLOOKUP(C35,A!C$21:E$973,3,FALSE)</f>
        <v>19969.09228654135</v>
      </c>
      <c r="F35" s="6" t="s">
        <v>44</v>
      </c>
      <c r="G35" s="18" t="str">
        <f t="shared" si="4"/>
        <v>54685.5691</v>
      </c>
      <c r="H35" s="11">
        <f t="shared" si="5"/>
        <v>19969</v>
      </c>
      <c r="I35" s="28" t="s">
        <v>139</v>
      </c>
      <c r="J35" s="29" t="s">
        <v>140</v>
      </c>
      <c r="K35" s="28" t="s">
        <v>141</v>
      </c>
      <c r="L35" s="28" t="s">
        <v>142</v>
      </c>
      <c r="M35" s="29" t="s">
        <v>122</v>
      </c>
      <c r="N35" s="29" t="s">
        <v>123</v>
      </c>
      <c r="O35" s="30" t="s">
        <v>105</v>
      </c>
      <c r="P35" s="31" t="s">
        <v>143</v>
      </c>
    </row>
    <row r="36" spans="2:6" ht="12.75">
      <c r="B36" s="6"/>
      <c r="E36" s="27"/>
      <c r="F36" s="6"/>
    </row>
    <row r="37" spans="2:6" ht="12.75">
      <c r="B37" s="6"/>
      <c r="E37" s="27"/>
      <c r="F37" s="6"/>
    </row>
    <row r="38" spans="2:6" ht="12.75">
      <c r="B38" s="6"/>
      <c r="E38" s="27"/>
      <c r="F38" s="6"/>
    </row>
    <row r="39" spans="2:6" ht="12.75">
      <c r="B39" s="6"/>
      <c r="E39" s="27"/>
      <c r="F39" s="6"/>
    </row>
    <row r="40" spans="2:6" ht="12.75">
      <c r="B40" s="6"/>
      <c r="E40" s="27"/>
      <c r="F40" s="6"/>
    </row>
    <row r="41" spans="2:6" ht="12.75">
      <c r="B41" s="6"/>
      <c r="E41" s="27"/>
      <c r="F41" s="6"/>
    </row>
    <row r="42" spans="2:6" ht="12.75">
      <c r="B42" s="6"/>
      <c r="E42" s="27"/>
      <c r="F42" s="6"/>
    </row>
    <row r="43" spans="2:6" ht="12.75">
      <c r="B43" s="6"/>
      <c r="E43" s="27"/>
      <c r="F43" s="6"/>
    </row>
    <row r="44" spans="2:6" ht="12.75">
      <c r="B44" s="6"/>
      <c r="E44" s="27"/>
      <c r="F44" s="6"/>
    </row>
    <row r="45" spans="2:6" ht="12.75">
      <c r="B45" s="6"/>
      <c r="E45" s="27"/>
      <c r="F45" s="6"/>
    </row>
    <row r="46" spans="2:6" ht="12.75">
      <c r="B46" s="6"/>
      <c r="E46" s="27"/>
      <c r="F46" s="6"/>
    </row>
    <row r="47" spans="2:6" ht="12.75">
      <c r="B47" s="6"/>
      <c r="E47" s="27"/>
      <c r="F47" s="6"/>
    </row>
    <row r="48" spans="2:6" ht="12.75">
      <c r="B48" s="6"/>
      <c r="E48" s="27"/>
      <c r="F48" s="6"/>
    </row>
    <row r="49" spans="2:6" ht="12.75">
      <c r="B49" s="6"/>
      <c r="E49" s="27"/>
      <c r="F49" s="6"/>
    </row>
    <row r="50" spans="2:6" ht="12.75">
      <c r="B50" s="6"/>
      <c r="E50" s="27"/>
      <c r="F50" s="6"/>
    </row>
    <row r="51" spans="2:6" ht="12.75">
      <c r="B51" s="6"/>
      <c r="E51" s="27"/>
      <c r="F51" s="6"/>
    </row>
    <row r="52" spans="2:6" ht="12.75">
      <c r="B52" s="6"/>
      <c r="E52" s="27"/>
      <c r="F52" s="6"/>
    </row>
    <row r="53" spans="2:6" ht="12.75">
      <c r="B53" s="6"/>
      <c r="E53" s="27"/>
      <c r="F53" s="6"/>
    </row>
    <row r="54" spans="2:6" ht="12.75">
      <c r="B54" s="6"/>
      <c r="E54" s="27"/>
      <c r="F54" s="6"/>
    </row>
    <row r="55" spans="2:6" ht="12.75">
      <c r="B55" s="6"/>
      <c r="E55" s="27"/>
      <c r="F55" s="6"/>
    </row>
    <row r="56" spans="2:6" ht="12.75">
      <c r="B56" s="6"/>
      <c r="E56" s="27"/>
      <c r="F56" s="6"/>
    </row>
    <row r="57" spans="2:6" ht="12.75">
      <c r="B57" s="6"/>
      <c r="E57" s="27"/>
      <c r="F57" s="6"/>
    </row>
    <row r="58" spans="2:6" ht="12.75">
      <c r="B58" s="6"/>
      <c r="E58" s="27"/>
      <c r="F58" s="6"/>
    </row>
    <row r="59" spans="2:6" ht="12.75">
      <c r="B59" s="6"/>
      <c r="E59" s="27"/>
      <c r="F59" s="6"/>
    </row>
    <row r="60" spans="2:6" ht="12.75">
      <c r="B60" s="6"/>
      <c r="E60" s="27"/>
      <c r="F60" s="6"/>
    </row>
    <row r="61" spans="2:6" ht="12.75">
      <c r="B61" s="6"/>
      <c r="E61" s="27"/>
      <c r="F61" s="6"/>
    </row>
    <row r="62" spans="2:6" ht="12.75">
      <c r="B62" s="6"/>
      <c r="E62" s="27"/>
      <c r="F62" s="6"/>
    </row>
    <row r="63" spans="2:6" ht="12.75">
      <c r="B63" s="6"/>
      <c r="E63" s="27"/>
      <c r="F63" s="6"/>
    </row>
    <row r="64" spans="2:6" ht="12.75">
      <c r="B64" s="6"/>
      <c r="E64" s="27"/>
      <c r="F64" s="6"/>
    </row>
    <row r="65" spans="2:6" ht="12.75">
      <c r="B65" s="6"/>
      <c r="E65" s="27"/>
      <c r="F65" s="6"/>
    </row>
    <row r="66" spans="2:6" ht="12.75">
      <c r="B66" s="6"/>
      <c r="E66" s="27"/>
      <c r="F66" s="6"/>
    </row>
    <row r="67" spans="2:6" ht="12.75">
      <c r="B67" s="6"/>
      <c r="E67" s="27"/>
      <c r="F67" s="6"/>
    </row>
    <row r="68" spans="2:6" ht="12.75">
      <c r="B68" s="6"/>
      <c r="E68" s="27"/>
      <c r="F68" s="6"/>
    </row>
    <row r="69" spans="2:6" ht="12.75">
      <c r="B69" s="6"/>
      <c r="E69" s="27"/>
      <c r="F69" s="6"/>
    </row>
    <row r="70" spans="2:6" ht="12.75">
      <c r="B70" s="6"/>
      <c r="E70" s="27"/>
      <c r="F70" s="6"/>
    </row>
    <row r="71" spans="2:6" ht="12.75">
      <c r="B71" s="6"/>
      <c r="E71" s="27"/>
      <c r="F71" s="6"/>
    </row>
    <row r="72" spans="2:6" ht="12.75">
      <c r="B72" s="6"/>
      <c r="E72" s="27"/>
      <c r="F72" s="6"/>
    </row>
    <row r="73" spans="2:6" ht="12.75">
      <c r="B73" s="6"/>
      <c r="E73" s="27"/>
      <c r="F73" s="6"/>
    </row>
    <row r="74" spans="2:6" ht="12.75">
      <c r="B74" s="6"/>
      <c r="E74" s="27"/>
      <c r="F74" s="6"/>
    </row>
    <row r="75" spans="2:6" ht="12.75">
      <c r="B75" s="6"/>
      <c r="E75" s="27"/>
      <c r="F75" s="6"/>
    </row>
    <row r="76" spans="2:6" ht="12.75">
      <c r="B76" s="6"/>
      <c r="E76" s="27"/>
      <c r="F76" s="6"/>
    </row>
    <row r="77" spans="2:6" ht="12.75">
      <c r="B77" s="6"/>
      <c r="E77" s="27"/>
      <c r="F77" s="6"/>
    </row>
    <row r="78" spans="2:6" ht="12.75">
      <c r="B78" s="6"/>
      <c r="E78" s="27"/>
      <c r="F78" s="6"/>
    </row>
    <row r="79" spans="2:6" ht="12.75">
      <c r="B79" s="6"/>
      <c r="E79" s="27"/>
      <c r="F79" s="6"/>
    </row>
    <row r="80" spans="2:6" ht="12.75">
      <c r="B80" s="6"/>
      <c r="E80" s="27"/>
      <c r="F80" s="6"/>
    </row>
    <row r="81" spans="2:6" ht="12.75">
      <c r="B81" s="6"/>
      <c r="E81" s="27"/>
      <c r="F81" s="6"/>
    </row>
    <row r="82" spans="2:6" ht="12.75">
      <c r="B82" s="6"/>
      <c r="E82" s="27"/>
      <c r="F82" s="6"/>
    </row>
    <row r="83" spans="2:6" ht="12.75">
      <c r="B83" s="6"/>
      <c r="E83" s="27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  <row r="824" spans="2:6" ht="12.75">
      <c r="B824" s="6"/>
      <c r="F824" s="6"/>
    </row>
    <row r="825" spans="2:6" ht="12.75">
      <c r="B825" s="6"/>
      <c r="F825" s="6"/>
    </row>
    <row r="826" spans="2:6" ht="12.75">
      <c r="B826" s="6"/>
      <c r="F826" s="6"/>
    </row>
    <row r="827" spans="2:6" ht="12.75">
      <c r="B827" s="6"/>
      <c r="F827" s="6"/>
    </row>
    <row r="828" spans="2:6" ht="12.75">
      <c r="B828" s="6"/>
      <c r="F828" s="6"/>
    </row>
    <row r="829" spans="2:6" ht="12.75">
      <c r="B829" s="6"/>
      <c r="F829" s="6"/>
    </row>
    <row r="830" spans="2:6" ht="12.75">
      <c r="B830" s="6"/>
      <c r="F830" s="6"/>
    </row>
    <row r="831" spans="2:6" ht="12.75">
      <c r="B831" s="6"/>
      <c r="F831" s="6"/>
    </row>
    <row r="832" spans="2:6" ht="12.75">
      <c r="B832" s="6"/>
      <c r="F832" s="6"/>
    </row>
    <row r="833" spans="2:6" ht="12.75">
      <c r="B833" s="6"/>
      <c r="F833" s="6"/>
    </row>
    <row r="834" spans="2:6" ht="12.75">
      <c r="B834" s="6"/>
      <c r="F834" s="6"/>
    </row>
    <row r="835" spans="2:6" ht="12.75">
      <c r="B835" s="6"/>
      <c r="F835" s="6"/>
    </row>
    <row r="836" spans="2:6" ht="12.75">
      <c r="B836" s="6"/>
      <c r="F836" s="6"/>
    </row>
    <row r="837" spans="2:6" ht="12.75">
      <c r="B837" s="6"/>
      <c r="F837" s="6"/>
    </row>
    <row r="838" spans="2:6" ht="12.75">
      <c r="B838" s="6"/>
      <c r="F838" s="6"/>
    </row>
    <row r="839" spans="2:6" ht="12.75">
      <c r="B839" s="6"/>
      <c r="F839" s="6"/>
    </row>
    <row r="840" spans="2:6" ht="12.75">
      <c r="B840" s="6"/>
      <c r="F840" s="6"/>
    </row>
    <row r="841" spans="2:6" ht="12.75">
      <c r="B841" s="6"/>
      <c r="F841" s="6"/>
    </row>
    <row r="842" spans="2:6" ht="12.75">
      <c r="B842" s="6"/>
      <c r="F842" s="6"/>
    </row>
    <row r="843" spans="2:6" ht="12.75">
      <c r="B843" s="6"/>
      <c r="F843" s="6"/>
    </row>
    <row r="844" spans="2:6" ht="12.75">
      <c r="B844" s="6"/>
      <c r="F844" s="6"/>
    </row>
    <row r="845" spans="2:6" ht="12.75">
      <c r="B845" s="6"/>
      <c r="F845" s="6"/>
    </row>
    <row r="846" spans="2:6" ht="12.75">
      <c r="B846" s="6"/>
      <c r="F846" s="6"/>
    </row>
    <row r="847" spans="2:6" ht="12.75">
      <c r="B847" s="6"/>
      <c r="F847" s="6"/>
    </row>
    <row r="848" spans="2:6" ht="12.75">
      <c r="B848" s="6"/>
      <c r="F848" s="6"/>
    </row>
    <row r="849" spans="2:6" ht="12.75">
      <c r="B849" s="6"/>
      <c r="F849" s="6"/>
    </row>
    <row r="850" spans="2:6" ht="12.75">
      <c r="B850" s="6"/>
      <c r="F850" s="6"/>
    </row>
    <row r="851" spans="2:6" ht="12.75">
      <c r="B851" s="6"/>
      <c r="F851" s="6"/>
    </row>
    <row r="852" spans="2:6" ht="12.75">
      <c r="B852" s="6"/>
      <c r="F852" s="6"/>
    </row>
    <row r="853" spans="2:6" ht="12.75">
      <c r="B853" s="6"/>
      <c r="F853" s="6"/>
    </row>
    <row r="854" spans="2:6" ht="12.75">
      <c r="B854" s="6"/>
      <c r="F854" s="6"/>
    </row>
    <row r="855" spans="2:6" ht="12.75">
      <c r="B855" s="6"/>
      <c r="F855" s="6"/>
    </row>
    <row r="856" spans="2:6" ht="12.75">
      <c r="B856" s="6"/>
      <c r="F856" s="6"/>
    </row>
    <row r="857" spans="2:6" ht="12.75">
      <c r="B857" s="6"/>
      <c r="F857" s="6"/>
    </row>
    <row r="858" spans="2:6" ht="12.75">
      <c r="B858" s="6"/>
      <c r="F858" s="6"/>
    </row>
    <row r="859" spans="2:6" ht="12.75">
      <c r="B859" s="6"/>
      <c r="F859" s="6"/>
    </row>
    <row r="860" spans="2:6" ht="12.75">
      <c r="B860" s="6"/>
      <c r="F860" s="6"/>
    </row>
    <row r="861" spans="2:6" ht="12.75">
      <c r="B861" s="6"/>
      <c r="F861" s="6"/>
    </row>
    <row r="862" spans="2:6" ht="12.75">
      <c r="B862" s="6"/>
      <c r="F862" s="6"/>
    </row>
    <row r="863" spans="2:6" ht="12.75">
      <c r="B863" s="6"/>
      <c r="F863" s="6"/>
    </row>
    <row r="864" spans="2:6" ht="12.75">
      <c r="B864" s="6"/>
      <c r="F864" s="6"/>
    </row>
    <row r="865" spans="2:6" ht="12.75">
      <c r="B865" s="6"/>
      <c r="F865" s="6"/>
    </row>
    <row r="866" spans="2:6" ht="12.75">
      <c r="B866" s="6"/>
      <c r="F866" s="6"/>
    </row>
    <row r="867" spans="2:6" ht="12.75">
      <c r="B867" s="6"/>
      <c r="F867" s="6"/>
    </row>
    <row r="868" spans="2:6" ht="12.75">
      <c r="B868" s="6"/>
      <c r="F868" s="6"/>
    </row>
    <row r="869" spans="2:6" ht="12.75">
      <c r="B869" s="6"/>
      <c r="F869" s="6"/>
    </row>
    <row r="870" spans="2:6" ht="12.75">
      <c r="B870" s="6"/>
      <c r="F870" s="6"/>
    </row>
    <row r="871" spans="2:6" ht="12.75">
      <c r="B871" s="6"/>
      <c r="F871" s="6"/>
    </row>
  </sheetData>
  <sheetProtection/>
  <hyperlinks>
    <hyperlink ref="P11" r:id="rId1" display="http://www.bav-astro.de/sfs/BAVM_link.php?BAVMnr=158"/>
    <hyperlink ref="P12" r:id="rId2" display="http://www.bav-astro.de/sfs/BAVM_link.php?BAVMnr=158"/>
    <hyperlink ref="P13" r:id="rId3" display="http://www.bav-astro.de/sfs/BAVM_link.php?BAVMnr=158"/>
    <hyperlink ref="P14" r:id="rId4" display="http://www.bav-astro.de/sfs/BAVM_link.php?BAVMnr=178"/>
    <hyperlink ref="P15" r:id="rId5" display="http://www.bav-astro.de/sfs/BAVM_link.php?BAVMnr=178"/>
    <hyperlink ref="P16" r:id="rId6" display="http://www.bav-astro.de/sfs/BAVM_link.php?BAVMnr=178"/>
    <hyperlink ref="P34" r:id="rId7" display="http://www.bav-astro.de/sfs/BAVM_link.php?BAVMnr=193"/>
    <hyperlink ref="P35" r:id="rId8" display="http://www.bav-astro.de/sfs/BAVM_link.php?BAVMnr=20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