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8355" windowHeight="1335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<sst xmlns="http://schemas.openxmlformats.org/spreadsheetml/2006/main" count="195" uniqueCount="128">
  <si>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</si>
  <si>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</si>
  <si>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</si>
  <si>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</si>
  <si>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</si>
  <si>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</si>
  <si>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</si>
  <si>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</si>
  <si>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</si>
  <si>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</si>
  <si>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</si>
  <si>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</si>
  <si>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</si>
  <si>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</si>
  <si>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</si>
  <si>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</si>
  <si>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</si>
  <si>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</si>
  <si>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</si>
  <si>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</si>
  <si>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</si>
  <si>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</si>
  <si>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</si>
  <si>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</si>
  <si>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</si>
  <si>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</si>
  <si>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</si>
  <si>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</si>
  <si>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EW</t>
  </si>
  <si>
    <t>IBVS 5263</t>
  </si>
  <si>
    <t>I</t>
  </si>
  <si>
    <t>IBVS 5657</t>
  </si>
  <si>
    <t># of data points:</t>
  </si>
  <si>
    <t>IBVS 5731</t>
  </si>
  <si>
    <t>IBVS 5438</t>
  </si>
  <si>
    <t>II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</si>
  <si>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</si>
  <si>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</si>
  <si>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</si>
  <si>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</si>
  <si>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</si>
  <si>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</si>
  <si>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OEJV 0074</t>
  </si>
  <si>
    <t>CCD</t>
  </si>
  <si>
    <t>Add cycle</t>
  </si>
  <si>
    <t>Old Cycle</t>
  </si>
  <si>
    <t>IBVS 5959</t>
  </si>
  <si>
    <t>IBVS 6048</t>
  </si>
  <si>
    <t>V0502 Cyg / GSC 3160-0462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</si>
  <si>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</si>
  <si>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</si>
  <si>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</si>
  <si>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</si>
  <si>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</si>
  <si>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</si>
  <si>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</si>
  <si>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</si>
  <si>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</si>
  <si>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</si>
  <si>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2451399.5386 </t>
  </si>
  <si>
    <t> 09.08.1999 00:55 </t>
  </si>
  <si>
    <t> 0.0981 </t>
  </si>
  <si>
    <t>E </t>
  </si>
  <si>
    <t>?</t>
  </si>
  <si>
    <t> M.Zejda </t>
  </si>
  <si>
    <t>IBVS 5263 </t>
  </si>
  <si>
    <t>2452093.5000 </t>
  </si>
  <si>
    <t> 03.07.2001 00:00 </t>
  </si>
  <si>
    <t> 0.1029 </t>
  </si>
  <si>
    <t> R.Diethelm </t>
  </si>
  <si>
    <t> BBS 126 </t>
  </si>
  <si>
    <t>2452118.44812 </t>
  </si>
  <si>
    <t> 27.07.2001 22:45 </t>
  </si>
  <si>
    <t> 0.10483 </t>
  </si>
  <si>
    <t>C </t>
  </si>
  <si>
    <t>o</t>
  </si>
  <si>
    <t> J.Šafár </t>
  </si>
  <si>
    <t>OEJV 0074 </t>
  </si>
  <si>
    <t>2452123.54590 </t>
  </si>
  <si>
    <t> 02.08.2001 01:06 </t>
  </si>
  <si>
    <t> 0.09999 </t>
  </si>
  <si>
    <t> K.Koss </t>
  </si>
  <si>
    <t>2452427.44510 </t>
  </si>
  <si>
    <t> 01.06.2002 22:40 </t>
  </si>
  <si>
    <t> 0.10970 </t>
  </si>
  <si>
    <t> Motl et al. </t>
  </si>
  <si>
    <t>2452585.3353 </t>
  </si>
  <si>
    <t> 06.11.2002 20:02 </t>
  </si>
  <si>
    <t> 0.1021 </t>
  </si>
  <si>
    <t> E.Blättler </t>
  </si>
  <si>
    <t> BBS 129 </t>
  </si>
  <si>
    <t>2453258.6065 </t>
  </si>
  <si>
    <t> 10.09.2004 02:33 </t>
  </si>
  <si>
    <t> 0.1107 </t>
  </si>
  <si>
    <t> F.Agerer </t>
  </si>
  <si>
    <t>BAVM 173 </t>
  </si>
  <si>
    <t>2453928.4670 </t>
  </si>
  <si>
    <t> 11.07.2006 23:12 </t>
  </si>
  <si>
    <t> 0.1103 </t>
  </si>
  <si>
    <t>-I</t>
  </si>
  <si>
    <t>BAVM 178 </t>
  </si>
  <si>
    <t>2454697.5555 </t>
  </si>
  <si>
    <t> 19.08.2008 01:19 </t>
  </si>
  <si>
    <t>28923</t>
  </si>
  <si>
    <t> 0.1203 </t>
  </si>
  <si>
    <t>BAVM 203 </t>
  </si>
  <si>
    <t>2455294.5662 </t>
  </si>
  <si>
    <t> 08.04.2010 01:35 </t>
  </si>
  <si>
    <t>29976</t>
  </si>
  <si>
    <t> 0.1242 </t>
  </si>
  <si>
    <t> W.Moschner &amp; P.Frank </t>
  </si>
  <si>
    <t>BAVM 214 </t>
  </si>
  <si>
    <t>2455650.6162 </t>
  </si>
  <si>
    <t> 30.03.2011 02:47 </t>
  </si>
  <si>
    <t>30604</t>
  </si>
  <si>
    <t> 0.1246 </t>
  </si>
  <si>
    <t>BAVM 220 </t>
  </si>
  <si>
    <t>2455851.3197 </t>
  </si>
  <si>
    <t> 16.10.2011 19:40 </t>
  </si>
  <si>
    <t>30958</t>
  </si>
  <si>
    <t> 0.1249 </t>
  </si>
  <si>
    <t> U.Schmidt </t>
  </si>
  <si>
    <t>BAVM 225 </t>
  </si>
  <si>
    <t>2456010.6365 </t>
  </si>
  <si>
    <t> 24.03.2012 03:16 </t>
  </si>
  <si>
    <t>31239</t>
  </si>
  <si>
    <t> 0.1265 </t>
  </si>
  <si>
    <t>BAVM 228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</si>
</sst>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V502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0.0013</c:v>
                  </c:pt>
                  <c:pt idx="6">
                    <c:v>0.0011</c:v>
                  </c:pt>
                  <c:pt idx="7">
                    <c:v>0.002</c:v>
                  </c:pt>
                  <c:pt idx="8">
                    <c:v>0.0007</c:v>
                  </c:pt>
                  <c:pt idx="9">
                    <c:v>0.0002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0.0013</c:v>
                  </c:pt>
                  <c:pt idx="6">
                    <c:v>0.0011</c:v>
                  </c:pt>
                  <c:pt idx="7">
                    <c:v>0.002</c:v>
                  </c:pt>
                  <c:pt idx="8">
                    <c:v>0.0007</c:v>
                  </c:pt>
                  <c:pt idx="9">
                    <c:v>0.0002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0.0013</c:v>
                  </c:pt>
                  <c:pt idx="6">
                    <c:v>0.0011</c:v>
                  </c:pt>
                  <c:pt idx="7">
                    <c:v>0.002</c:v>
                  </c:pt>
                  <c:pt idx="8">
                    <c:v>0.0007</c:v>
                  </c:pt>
                  <c:pt idx="9">
                    <c:v>0.0002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0.0013</c:v>
                  </c:pt>
                  <c:pt idx="6">
                    <c:v>0.0011</c:v>
                  </c:pt>
                  <c:pt idx="7">
                    <c:v>0.002</c:v>
                  </c:pt>
                  <c:pt idx="8">
                    <c:v>0.0007</c:v>
                  </c:pt>
                  <c:pt idx="9">
                    <c:v>0.0002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0.0013</c:v>
                  </c:pt>
                  <c:pt idx="6">
                    <c:v>0.0011</c:v>
                  </c:pt>
                  <c:pt idx="7">
                    <c:v>0.002</c:v>
                  </c:pt>
                  <c:pt idx="8">
                    <c:v>0.0007</c:v>
                  </c:pt>
                  <c:pt idx="9">
                    <c:v>0.0002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0.0013</c:v>
                  </c:pt>
                  <c:pt idx="6">
                    <c:v>0.0011</c:v>
                  </c:pt>
                  <c:pt idx="7">
                    <c:v>0.002</c:v>
                  </c:pt>
                  <c:pt idx="8">
                    <c:v>0.0007</c:v>
                  </c:pt>
                  <c:pt idx="9">
                    <c:v>0.0002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0.0013</c:v>
                  </c:pt>
                  <c:pt idx="6">
                    <c:v>0.0011</c:v>
                  </c:pt>
                  <c:pt idx="7">
                    <c:v>0.002</c:v>
                  </c:pt>
                  <c:pt idx="8">
                    <c:v>0.0007</c:v>
                  </c:pt>
                  <c:pt idx="9">
                    <c:v>0.0002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0.0013</c:v>
                  </c:pt>
                  <c:pt idx="6">
                    <c:v>0.0011</c:v>
                  </c:pt>
                  <c:pt idx="7">
                    <c:v>0.002</c:v>
                  </c:pt>
                  <c:pt idx="8">
                    <c:v>0.0007</c:v>
                  </c:pt>
                  <c:pt idx="9">
                    <c:v>0.0002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0.0013</c:v>
                  </c:pt>
                  <c:pt idx="6">
                    <c:v>0.0011</c:v>
                  </c:pt>
                  <c:pt idx="7">
                    <c:v>0.002</c:v>
                  </c:pt>
                  <c:pt idx="8">
                    <c:v>0.0007</c:v>
                  </c:pt>
                  <c:pt idx="9">
                    <c:v>0.0002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0.0013</c:v>
                  </c:pt>
                  <c:pt idx="6">
                    <c:v>0.0011</c:v>
                  </c:pt>
                  <c:pt idx="7">
                    <c:v>0.002</c:v>
                  </c:pt>
                  <c:pt idx="8">
                    <c:v>0.0007</c:v>
                  </c:pt>
                  <c:pt idx="9">
                    <c:v>0.0002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0.0013</c:v>
                  </c:pt>
                  <c:pt idx="6">
                    <c:v>0.0011</c:v>
                  </c:pt>
                  <c:pt idx="7">
                    <c:v>0.002</c:v>
                  </c:pt>
                  <c:pt idx="8">
                    <c:v>0.0007</c:v>
                  </c:pt>
                  <c:pt idx="9">
                    <c:v>0.0002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0.0013</c:v>
                  </c:pt>
                  <c:pt idx="6">
                    <c:v>0.0011</c:v>
                  </c:pt>
                  <c:pt idx="7">
                    <c:v>0.002</c:v>
                  </c:pt>
                  <c:pt idx="8">
                    <c:v>0.0007</c:v>
                  </c:pt>
                  <c:pt idx="9">
                    <c:v>0.0002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9688370"/>
        <c:axId val="21651011"/>
      </c:scatterChart>
      <c:valAx>
        <c:axId val="3968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51011"/>
        <c:crosses val="autoZero"/>
        <c:crossBetween val="midCat"/>
        <c:dispUnits/>
      </c:valAx>
      <c:valAx>
        <c:axId val="21651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8837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075"/>
          <c:w val="0.687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16</xdr:col>
      <xdr:colOff>381000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81525" y="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63" TargetMode="External" /><Relationship Id="rId2" Type="http://schemas.openxmlformats.org/officeDocument/2006/relationships/hyperlink" Target="http://var.astro.cz/oejv/issues/oejv0074.pdf" TargetMode="External" /><Relationship Id="rId3" Type="http://schemas.openxmlformats.org/officeDocument/2006/relationships/hyperlink" Target="http://var.astro.cz/oejv/issues/oejv0074.pdf" TargetMode="External" /><Relationship Id="rId4" Type="http://schemas.openxmlformats.org/officeDocument/2006/relationships/hyperlink" Target="http://var.astro.cz/oejv/issues/oejv0074.pdf" TargetMode="External" /><Relationship Id="rId5" Type="http://schemas.openxmlformats.org/officeDocument/2006/relationships/hyperlink" Target="http://www.bav-astro.de/sfs/BAVM_link.php?BAVMnr=173" TargetMode="External" /><Relationship Id="rId6" Type="http://schemas.openxmlformats.org/officeDocument/2006/relationships/hyperlink" Target="http://www.bav-astro.de/sfs/BAVM_link.php?BAVMnr=178" TargetMode="External" /><Relationship Id="rId7" Type="http://schemas.openxmlformats.org/officeDocument/2006/relationships/hyperlink" Target="http://www.bav-astro.de/sfs/BAVM_link.php?BAVMnr=203" TargetMode="External" /><Relationship Id="rId8" Type="http://schemas.openxmlformats.org/officeDocument/2006/relationships/hyperlink" Target="http://www.bav-astro.de/sfs/BAVM_link.php?BAVMnr=214" TargetMode="External" /><Relationship Id="rId9" Type="http://schemas.openxmlformats.org/officeDocument/2006/relationships/hyperlink" Target="http://www.bav-astro.de/sfs/BAVM_link.php?BAVMnr=220" TargetMode="External" /><Relationship Id="rId10" Type="http://schemas.openxmlformats.org/officeDocument/2006/relationships/hyperlink" Target="http://www.bav-astro.de/sfs/BAVM_link.php?BAVMnr=225" TargetMode="External" /><Relationship Id="rId11" Type="http://schemas.openxmlformats.org/officeDocument/2006/relationships/hyperlink" Target="http://www.bav-astro.de/sfs/BAVM_link.php?BAVMnr=22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48</v>
      </c>
    </row>
    <row r="2" spans="1:2" ht="12.75">
      <c r="A2" t="s">
        <v>24</v>
      </c>
      <c r="B2" s="10" t="s">
        <v>28</v>
      </c>
    </row>
    <row r="4" spans="1:4" ht="14.25" thickBot="1" thickTop="1">
      <c r="A4" s="7" t="s">
        <v>0</v>
      </c>
      <c r="C4" s="3">
        <v>38299.309</v>
      </c>
      <c r="D4" s="4">
        <v>0.566958</v>
      </c>
    </row>
    <row r="5" spans="1:4" ht="13.5" thickTop="1">
      <c r="A5" s="11" t="s">
        <v>36</v>
      </c>
      <c r="B5" s="10"/>
      <c r="C5" s="12">
        <v>-9.5</v>
      </c>
      <c r="D5" s="10" t="s">
        <v>37</v>
      </c>
    </row>
    <row r="6" ht="12.75">
      <c r="A6" s="7" t="s">
        <v>1</v>
      </c>
    </row>
    <row r="7" spans="1:3" ht="12.75">
      <c r="A7" t="s">
        <v>2</v>
      </c>
      <c r="C7">
        <f>+C4</f>
        <v>38299.309</v>
      </c>
    </row>
    <row r="8" spans="1:3" ht="12.75">
      <c r="A8" t="s">
        <v>3</v>
      </c>
      <c r="C8">
        <f>+D4</f>
        <v>0.566958</v>
      </c>
    </row>
    <row r="9" spans="1:4" ht="12.75">
      <c r="A9" s="25" t="s">
        <v>41</v>
      </c>
      <c r="B9" s="26">
        <v>21</v>
      </c>
      <c r="C9" s="14" t="str">
        <f>"F"&amp;B9</f>
        <v>F21</v>
      </c>
      <c r="D9" s="15" t="str">
        <f>"G"&amp;B9</f>
        <v>G21</v>
      </c>
    </row>
    <row r="10" spans="1:5" ht="13.5" thickBot="1">
      <c r="A10" s="10"/>
      <c r="B10" s="10"/>
      <c r="C10" s="6" t="s">
        <v>20</v>
      </c>
      <c r="D10" s="6" t="s">
        <v>21</v>
      </c>
      <c r="E10" s="10"/>
    </row>
    <row r="11" spans="1:5" ht="12.75">
      <c r="A11" s="10" t="s">
        <v>16</v>
      </c>
      <c r="B11" s="10"/>
      <c r="C11" s="13">
        <f ca="1">INTERCEPT(INDIRECT($D$9):G992,INDIRECT($C$9):F992)</f>
        <v>0.002153069913439845</v>
      </c>
      <c r="D11" s="5"/>
      <c r="E11" s="10"/>
    </row>
    <row r="12" spans="1:5" ht="12.75">
      <c r="A12" s="10" t="s">
        <v>17</v>
      </c>
      <c r="B12" s="10"/>
      <c r="C12" s="13">
        <f ca="1">SLOPE(INDIRECT($D$9):G992,INDIRECT($C$9):F992)</f>
        <v>4.059651555756421E-06</v>
      </c>
      <c r="D12" s="5"/>
      <c r="E12" s="10"/>
    </row>
    <row r="13" spans="1:3" ht="12.75">
      <c r="A13" s="10" t="s">
        <v>19</v>
      </c>
      <c r="B13" s="10"/>
      <c r="C13" s="5" t="s">
        <v>14</v>
      </c>
    </row>
    <row r="14" spans="1:3" ht="12.75">
      <c r="A14" s="10"/>
      <c r="B14" s="10"/>
      <c r="C14" s="10"/>
    </row>
    <row r="15" spans="1:6" ht="12.75">
      <c r="A15" s="16" t="s">
        <v>18</v>
      </c>
      <c r="B15" s="10"/>
      <c r="C15" s="17">
        <f>(C7+C11)+(C8+C12)*INT(MAX(F21:F3533))</f>
        <v>56010.63893452487</v>
      </c>
      <c r="E15" s="18" t="s">
        <v>44</v>
      </c>
      <c r="F15" s="12">
        <v>1</v>
      </c>
    </row>
    <row r="16" spans="1:6" ht="12.75">
      <c r="A16" s="20" t="s">
        <v>4</v>
      </c>
      <c r="B16" s="10"/>
      <c r="C16" s="21">
        <f>+C8+C12</f>
        <v>0.5669620596515558</v>
      </c>
      <c r="E16" s="18" t="s">
        <v>38</v>
      </c>
      <c r="F16" s="19">
        <f ca="1">NOW()+15018.5+$C$5/24</f>
        <v>59896.79156331018</v>
      </c>
    </row>
    <row r="17" spans="1:6" ht="13.5" thickBot="1">
      <c r="A17" s="18" t="s">
        <v>32</v>
      </c>
      <c r="B17" s="10"/>
      <c r="C17" s="10">
        <f>COUNT(C21:C2191)</f>
        <v>14</v>
      </c>
      <c r="E17" s="18" t="s">
        <v>45</v>
      </c>
      <c r="F17" s="19">
        <f>ROUND(2*(F16-$C$7)/$C$8,0)/2+F15</f>
        <v>38094.5</v>
      </c>
    </row>
    <row r="18" spans="1:6" ht="14.25" thickBot="1" thickTop="1">
      <c r="A18" s="20" t="s">
        <v>5</v>
      </c>
      <c r="B18" s="10"/>
      <c r="C18" s="23">
        <f>+C15</f>
        <v>56010.63893452487</v>
      </c>
      <c r="D18" s="24">
        <f>+C16</f>
        <v>0.5669620596515558</v>
      </c>
      <c r="E18" s="18" t="s">
        <v>39</v>
      </c>
      <c r="F18" s="15">
        <f>ROUND(2*(F16-$C$15)/$C$16,0)/2+F15</f>
        <v>6855.5</v>
      </c>
    </row>
    <row r="19" spans="5:6" ht="13.5" thickTop="1">
      <c r="E19" s="18" t="s">
        <v>40</v>
      </c>
      <c r="F19" s="22">
        <f>+$C$15+$C$16*F18-15018.5-$C$5/24</f>
        <v>44879.343167799445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55</v>
      </c>
      <c r="I20" s="9" t="s">
        <v>58</v>
      </c>
      <c r="J20" s="9" t="s">
        <v>52</v>
      </c>
      <c r="K20" s="9" t="s">
        <v>43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</row>
    <row r="21" spans="1:17" ht="12.75">
      <c r="A21" s="27" t="s">
        <v>12</v>
      </c>
      <c r="B21" s="27"/>
      <c r="C21" s="28">
        <f>+C4</f>
        <v>38299.309</v>
      </c>
      <c r="D21" s="28" t="s">
        <v>14</v>
      </c>
      <c r="E21" s="27">
        <f aca="true" t="shared" si="0" ref="E21:E28">+(C21-C$7)/C$8</f>
        <v>0</v>
      </c>
      <c r="F21">
        <f aca="true" t="shared" si="1" ref="F21:F34">ROUND(2*E21,0)/2</f>
        <v>0</v>
      </c>
      <c r="G21">
        <f aca="true" t="shared" si="2" ref="G21:G28">+C21-(C$7+F21*C$8)</f>
        <v>0</v>
      </c>
      <c r="H21">
        <f>+G21</f>
        <v>0</v>
      </c>
      <c r="O21">
        <f aca="true" t="shared" si="3" ref="O21:O28">+C$11+C$12*$F21</f>
        <v>0.002153069913439845</v>
      </c>
      <c r="Q21" s="2">
        <f aca="true" t="shared" si="4" ref="Q21:Q28">+C21-15018.5</f>
        <v>23280.809</v>
      </c>
    </row>
    <row r="22" spans="1:17" ht="12.75">
      <c r="A22" s="29" t="s">
        <v>29</v>
      </c>
      <c r="B22" s="30" t="s">
        <v>30</v>
      </c>
      <c r="C22" s="31">
        <v>51399.5386</v>
      </c>
      <c r="D22" s="31">
        <v>0.0022</v>
      </c>
      <c r="E22" s="27">
        <f t="shared" si="0"/>
        <v>23106.1729440276</v>
      </c>
      <c r="F22">
        <f t="shared" si="1"/>
        <v>23106</v>
      </c>
      <c r="G22">
        <f t="shared" si="2"/>
        <v>0.0980520000011893</v>
      </c>
      <c r="K22">
        <f>+G22</f>
        <v>0.0980520000011893</v>
      </c>
      <c r="O22">
        <f t="shared" si="3"/>
        <v>0.09595537876074771</v>
      </c>
      <c r="Q22" s="2">
        <f t="shared" si="4"/>
        <v>36381.0386</v>
      </c>
    </row>
    <row r="23" spans="1:17" ht="12.75">
      <c r="A23" s="32" t="s">
        <v>42</v>
      </c>
      <c r="B23" s="33" t="s">
        <v>30</v>
      </c>
      <c r="C23" s="32">
        <v>52118.44812</v>
      </c>
      <c r="D23" s="32">
        <v>0.003</v>
      </c>
      <c r="E23" s="27">
        <f t="shared" si="0"/>
        <v>24374.184895530183</v>
      </c>
      <c r="F23">
        <f t="shared" si="1"/>
        <v>24374</v>
      </c>
      <c r="G23">
        <f t="shared" si="2"/>
        <v>0.10482800000318093</v>
      </c>
      <c r="K23">
        <f>+G23</f>
        <v>0.10482800000318093</v>
      </c>
      <c r="O23">
        <f t="shared" si="3"/>
        <v>0.10110301693344684</v>
      </c>
      <c r="Q23" s="2">
        <f t="shared" si="4"/>
        <v>37099.94812</v>
      </c>
    </row>
    <row r="24" spans="1:17" ht="12.75">
      <c r="A24" s="32" t="s">
        <v>42</v>
      </c>
      <c r="B24" s="33" t="s">
        <v>30</v>
      </c>
      <c r="C24" s="32">
        <v>52123.5459</v>
      </c>
      <c r="D24" s="32" t="s">
        <v>43</v>
      </c>
      <c r="E24" s="27">
        <f t="shared" si="0"/>
        <v>24383.17635521502</v>
      </c>
      <c r="F24">
        <f t="shared" si="1"/>
        <v>24383</v>
      </c>
      <c r="G24">
        <f t="shared" si="2"/>
        <v>0.09998600000108127</v>
      </c>
      <c r="K24">
        <f>+G24</f>
        <v>0.09998600000108127</v>
      </c>
      <c r="O24">
        <f t="shared" si="3"/>
        <v>0.10113955379744866</v>
      </c>
      <c r="Q24" s="2">
        <f t="shared" si="4"/>
        <v>37105.0459</v>
      </c>
    </row>
    <row r="25" spans="1:17" ht="12.75">
      <c r="A25" s="32" t="s">
        <v>42</v>
      </c>
      <c r="B25" s="33" t="s">
        <v>30</v>
      </c>
      <c r="C25" s="32">
        <v>52427.4451</v>
      </c>
      <c r="D25" s="32" t="s">
        <v>43</v>
      </c>
      <c r="E25" s="27">
        <f t="shared" si="0"/>
        <v>24919.193485231706</v>
      </c>
      <c r="F25">
        <f t="shared" si="1"/>
        <v>24919</v>
      </c>
      <c r="G25">
        <f t="shared" si="2"/>
        <v>0.10969800000020768</v>
      </c>
      <c r="K25">
        <f>+G25</f>
        <v>0.10969800000020768</v>
      </c>
      <c r="O25">
        <f t="shared" si="3"/>
        <v>0.10331552703133409</v>
      </c>
      <c r="Q25" s="2">
        <f t="shared" si="4"/>
        <v>37408.9451</v>
      </c>
    </row>
    <row r="26" spans="1:17" ht="12.75">
      <c r="A26" s="34" t="s">
        <v>34</v>
      </c>
      <c r="B26" s="35" t="s">
        <v>35</v>
      </c>
      <c r="C26" s="28">
        <v>52585.3353</v>
      </c>
      <c r="D26" s="28">
        <v>0.0013</v>
      </c>
      <c r="E26" s="27">
        <f t="shared" si="0"/>
        <v>25197.68007506729</v>
      </c>
      <c r="F26">
        <f t="shared" si="1"/>
        <v>25197.5</v>
      </c>
      <c r="G26">
        <f t="shared" si="2"/>
        <v>0.10209500000200933</v>
      </c>
      <c r="K26">
        <f>+G26</f>
        <v>0.10209500000200933</v>
      </c>
      <c r="O26">
        <f t="shared" si="3"/>
        <v>0.10444613998961226</v>
      </c>
      <c r="Q26" s="2">
        <f t="shared" si="4"/>
        <v>37566.8353</v>
      </c>
    </row>
    <row r="27" spans="1:17" ht="12.75">
      <c r="A27" s="36" t="s">
        <v>31</v>
      </c>
      <c r="B27" s="37"/>
      <c r="C27" s="28">
        <v>53258.6065</v>
      </c>
      <c r="D27" s="28">
        <v>0.0011</v>
      </c>
      <c r="E27" s="27">
        <f t="shared" si="0"/>
        <v>26385.195199644422</v>
      </c>
      <c r="F27">
        <f t="shared" si="1"/>
        <v>26385</v>
      </c>
      <c r="G27">
        <f t="shared" si="2"/>
        <v>0.11067000000184635</v>
      </c>
      <c r="J27">
        <f>+G27</f>
        <v>0.11067000000184635</v>
      </c>
      <c r="O27">
        <f t="shared" si="3"/>
        <v>0.109266976212073</v>
      </c>
      <c r="Q27" s="2">
        <f t="shared" si="4"/>
        <v>38240.1065</v>
      </c>
    </row>
    <row r="28" spans="1:17" ht="12.75">
      <c r="A28" s="34" t="s">
        <v>33</v>
      </c>
      <c r="B28" s="38"/>
      <c r="C28" s="39">
        <v>53928.467</v>
      </c>
      <c r="D28" s="28">
        <v>0.002</v>
      </c>
      <c r="E28" s="27">
        <f t="shared" si="0"/>
        <v>27566.69453469216</v>
      </c>
      <c r="F28">
        <f t="shared" si="1"/>
        <v>27566.5</v>
      </c>
      <c r="G28">
        <f t="shared" si="2"/>
        <v>0.11029299999790965</v>
      </c>
      <c r="J28">
        <f>+G28</f>
        <v>0.11029299999790965</v>
      </c>
      <c r="O28">
        <f t="shared" si="3"/>
        <v>0.11406345452519921</v>
      </c>
      <c r="Q28" s="2">
        <f t="shared" si="4"/>
        <v>38909.967</v>
      </c>
    </row>
    <row r="29" spans="1:17" ht="12.75">
      <c r="A29" s="29" t="s">
        <v>46</v>
      </c>
      <c r="B29" s="40" t="s">
        <v>30</v>
      </c>
      <c r="C29" s="29">
        <v>55294.5662</v>
      </c>
      <c r="D29" s="29">
        <v>0.0007</v>
      </c>
      <c r="E29" s="27">
        <f aca="true" t="shared" si="5" ref="E29:E34">+(C29-C$7)/C$8</f>
        <v>29976.21904973561</v>
      </c>
      <c r="F29">
        <f t="shared" si="1"/>
        <v>29976</v>
      </c>
      <c r="G29">
        <f aca="true" t="shared" si="6" ref="G29:G34">+C29-(C$7+F29*C$8)</f>
        <v>0.1241920000029495</v>
      </c>
      <c r="J29">
        <f>+G29</f>
        <v>0.1241920000029495</v>
      </c>
      <c r="O29">
        <f aca="true" t="shared" si="7" ref="O29:O34">+C$11+C$12*$F29</f>
        <v>0.12384518494879432</v>
      </c>
      <c r="Q29" s="2">
        <f aca="true" t="shared" si="8" ref="Q29:Q34">+C29-15018.5</f>
        <v>40276.0662</v>
      </c>
    </row>
    <row r="30" spans="1:17" ht="12.75">
      <c r="A30" s="41" t="s">
        <v>47</v>
      </c>
      <c r="B30" s="42" t="s">
        <v>30</v>
      </c>
      <c r="C30" s="43">
        <v>56010.6365</v>
      </c>
      <c r="D30" s="43">
        <v>0.0002</v>
      </c>
      <c r="E30" s="27">
        <f t="shared" si="5"/>
        <v>31239.223187608255</v>
      </c>
      <c r="F30">
        <f t="shared" si="1"/>
        <v>31239</v>
      </c>
      <c r="G30">
        <f t="shared" si="6"/>
        <v>0.126538000004075</v>
      </c>
      <c r="J30">
        <f>+G30</f>
        <v>0.126538000004075</v>
      </c>
      <c r="O30">
        <f t="shared" si="7"/>
        <v>0.1289725248637147</v>
      </c>
      <c r="Q30" s="2">
        <f t="shared" si="8"/>
        <v>40992.1365</v>
      </c>
    </row>
    <row r="31" spans="1:17" ht="12.75">
      <c r="A31" s="58" t="s">
        <v>70</v>
      </c>
      <c r="B31" s="59" t="s">
        <v>30</v>
      </c>
      <c r="C31" s="58">
        <v>52093.5</v>
      </c>
      <c r="D31" s="58" t="s">
        <v>58</v>
      </c>
      <c r="E31" s="27">
        <f t="shared" si="5"/>
        <v>24330.181424373586</v>
      </c>
      <c r="F31">
        <f t="shared" si="1"/>
        <v>24330</v>
      </c>
      <c r="G31">
        <f t="shared" si="6"/>
        <v>0.10285999999905471</v>
      </c>
      <c r="I31">
        <f>+G31</f>
        <v>0.10285999999905471</v>
      </c>
      <c r="O31">
        <f t="shared" si="7"/>
        <v>0.10092439226499356</v>
      </c>
      <c r="Q31" s="2">
        <f t="shared" si="8"/>
        <v>37075</v>
      </c>
    </row>
    <row r="32" spans="1:17" ht="12.75">
      <c r="A32" s="58" t="s">
        <v>105</v>
      </c>
      <c r="B32" s="59" t="s">
        <v>30</v>
      </c>
      <c r="C32" s="58">
        <v>54697.5555</v>
      </c>
      <c r="D32" s="58" t="s">
        <v>58</v>
      </c>
      <c r="E32" s="27">
        <f t="shared" si="5"/>
        <v>28923.212125060414</v>
      </c>
      <c r="F32">
        <f t="shared" si="1"/>
        <v>28923</v>
      </c>
      <c r="G32">
        <f t="shared" si="6"/>
        <v>0.1202659999980824</v>
      </c>
      <c r="K32">
        <f>+G32</f>
        <v>0.1202659999980824</v>
      </c>
      <c r="O32">
        <f t="shared" si="7"/>
        <v>0.11957037186058281</v>
      </c>
      <c r="Q32" s="2">
        <f t="shared" si="8"/>
        <v>39679.0555</v>
      </c>
    </row>
    <row r="33" spans="1:17" ht="12.75">
      <c r="A33" s="58" t="s">
        <v>116</v>
      </c>
      <c r="B33" s="59" t="s">
        <v>30</v>
      </c>
      <c r="C33" s="58">
        <v>55650.6162</v>
      </c>
      <c r="D33" s="58" t="s">
        <v>58</v>
      </c>
      <c r="E33" s="27">
        <f t="shared" si="5"/>
        <v>30604.219712924056</v>
      </c>
      <c r="F33">
        <f t="shared" si="1"/>
        <v>30604</v>
      </c>
      <c r="G33">
        <f t="shared" si="6"/>
        <v>0.12456799999199575</v>
      </c>
      <c r="K33">
        <f>+G33</f>
        <v>0.12456799999199575</v>
      </c>
      <c r="O33">
        <f t="shared" si="7"/>
        <v>0.12639464612580936</v>
      </c>
      <c r="Q33" s="2">
        <f t="shared" si="8"/>
        <v>40632.1162</v>
      </c>
    </row>
    <row r="34" spans="1:17" ht="12.75">
      <c r="A34" s="58" t="s">
        <v>122</v>
      </c>
      <c r="B34" s="59" t="s">
        <v>30</v>
      </c>
      <c r="C34" s="58">
        <v>55851.3197</v>
      </c>
      <c r="D34" s="58" t="s">
        <v>58</v>
      </c>
      <c r="E34" s="27">
        <f t="shared" si="5"/>
        <v>30958.220362002125</v>
      </c>
      <c r="F34">
        <f t="shared" si="1"/>
        <v>30958</v>
      </c>
      <c r="G34">
        <f t="shared" si="6"/>
        <v>0.12493600000016158</v>
      </c>
      <c r="K34">
        <f>+G34</f>
        <v>0.12493600000016158</v>
      </c>
      <c r="O34">
        <f t="shared" si="7"/>
        <v>0.12783176277654712</v>
      </c>
      <c r="Q34" s="2">
        <f t="shared" si="8"/>
        <v>40832.8197</v>
      </c>
    </row>
    <row r="35" spans="2:4" ht="12.75">
      <c r="B35" s="5"/>
      <c r="D35" s="5"/>
    </row>
    <row r="36" spans="2:4" ht="12.75">
      <c r="B36" s="5"/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7"/>
  <sheetViews>
    <sheetView zoomScalePageLayoutView="0" workbookViewId="0" topLeftCell="A1">
      <selection activeCell="A20" sqref="A20:D23"/>
    </sheetView>
  </sheetViews>
  <sheetFormatPr defaultColWidth="9.140625" defaultRowHeight="12.75"/>
  <cols>
    <col min="1" max="1" width="19.7109375" style="45" customWidth="1"/>
    <col min="2" max="2" width="4.421875" style="10" customWidth="1"/>
    <col min="3" max="3" width="12.7109375" style="45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45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44" t="s">
        <v>49</v>
      </c>
      <c r="I1" s="46" t="s">
        <v>50</v>
      </c>
      <c r="J1" s="47" t="s">
        <v>43</v>
      </c>
    </row>
    <row r="2" spans="9:10" ht="12.75">
      <c r="I2" s="48" t="s">
        <v>51</v>
      </c>
      <c r="J2" s="49" t="s">
        <v>52</v>
      </c>
    </row>
    <row r="3" spans="1:10" ht="12.75">
      <c r="A3" s="50" t="s">
        <v>53</v>
      </c>
      <c r="I3" s="48" t="s">
        <v>54</v>
      </c>
      <c r="J3" s="49" t="s">
        <v>55</v>
      </c>
    </row>
    <row r="4" spans="9:10" ht="12.75">
      <c r="I4" s="48" t="s">
        <v>56</v>
      </c>
      <c r="J4" s="49" t="s">
        <v>55</v>
      </c>
    </row>
    <row r="5" spans="9:10" ht="13.5" thickBot="1">
      <c r="I5" s="51" t="s">
        <v>57</v>
      </c>
      <c r="J5" s="52" t="s">
        <v>58</v>
      </c>
    </row>
    <row r="10" ht="13.5" thickBot="1"/>
    <row r="11" spans="1:16" ht="12.75" customHeight="1" thickBot="1">
      <c r="A11" s="45" t="str">
        <f aca="true" t="shared" si="0" ref="A11:A23">P11</f>
        <v>IBVS 5263 </v>
      </c>
      <c r="B11" s="5" t="str">
        <f aca="true" t="shared" si="1" ref="B11:B23">IF(H11=INT(H11),"I","II")</f>
        <v>I</v>
      </c>
      <c r="C11" s="45">
        <f aca="true" t="shared" si="2" ref="C11:C23">1*G11</f>
        <v>51399.5386</v>
      </c>
      <c r="D11" s="10" t="str">
        <f aca="true" t="shared" si="3" ref="D11:D23">VLOOKUP(F11,I$1:J$5,2,FALSE)</f>
        <v>vis</v>
      </c>
      <c r="E11" s="53">
        <f>VLOOKUP(C11,A!C$21:E$973,3,FALSE)</f>
        <v>23106.1729440276</v>
      </c>
      <c r="F11" s="5" t="s">
        <v>57</v>
      </c>
      <c r="G11" s="10" t="str">
        <f aca="true" t="shared" si="4" ref="G11:G23">MID(I11,3,LEN(I11)-3)</f>
        <v>51399.5386</v>
      </c>
      <c r="H11" s="45">
        <f aca="true" t="shared" si="5" ref="H11:H23">1*K11</f>
        <v>23106</v>
      </c>
      <c r="I11" s="54" t="s">
        <v>59</v>
      </c>
      <c r="J11" s="55" t="s">
        <v>60</v>
      </c>
      <c r="K11" s="54">
        <v>23106</v>
      </c>
      <c r="L11" s="54" t="s">
        <v>61</v>
      </c>
      <c r="M11" s="55" t="s">
        <v>62</v>
      </c>
      <c r="N11" s="55" t="s">
        <v>63</v>
      </c>
      <c r="O11" s="56" t="s">
        <v>64</v>
      </c>
      <c r="P11" s="57" t="s">
        <v>65</v>
      </c>
    </row>
    <row r="12" spans="1:16" ht="12.75" customHeight="1" thickBot="1">
      <c r="A12" s="45" t="str">
        <f t="shared" si="0"/>
        <v>OEJV 0074 </v>
      </c>
      <c r="B12" s="5" t="str">
        <f t="shared" si="1"/>
        <v>I</v>
      </c>
      <c r="C12" s="45">
        <f t="shared" si="2"/>
        <v>52118.44812</v>
      </c>
      <c r="D12" s="10" t="str">
        <f t="shared" si="3"/>
        <v>vis</v>
      </c>
      <c r="E12" s="53">
        <f>VLOOKUP(C12,A!C$21:E$973,3,FALSE)</f>
        <v>24374.184895530183</v>
      </c>
      <c r="F12" s="5" t="s">
        <v>57</v>
      </c>
      <c r="G12" s="10" t="str">
        <f t="shared" si="4"/>
        <v>52118.44812</v>
      </c>
      <c r="H12" s="45">
        <f t="shared" si="5"/>
        <v>24374</v>
      </c>
      <c r="I12" s="54" t="s">
        <v>71</v>
      </c>
      <c r="J12" s="55" t="s">
        <v>72</v>
      </c>
      <c r="K12" s="54">
        <v>24374</v>
      </c>
      <c r="L12" s="54" t="s">
        <v>73</v>
      </c>
      <c r="M12" s="55" t="s">
        <v>74</v>
      </c>
      <c r="N12" s="55" t="s">
        <v>75</v>
      </c>
      <c r="O12" s="56" t="s">
        <v>76</v>
      </c>
      <c r="P12" s="57" t="s">
        <v>77</v>
      </c>
    </row>
    <row r="13" spans="1:16" ht="12.75" customHeight="1" thickBot="1">
      <c r="A13" s="45" t="str">
        <f t="shared" si="0"/>
        <v>OEJV 0074 </v>
      </c>
      <c r="B13" s="5" t="str">
        <f t="shared" si="1"/>
        <v>I</v>
      </c>
      <c r="C13" s="45">
        <f t="shared" si="2"/>
        <v>52123.5459</v>
      </c>
      <c r="D13" s="10" t="str">
        <f t="shared" si="3"/>
        <v>vis</v>
      </c>
      <c r="E13" s="53">
        <f>VLOOKUP(C13,A!C$21:E$973,3,FALSE)</f>
        <v>24383.17635521502</v>
      </c>
      <c r="F13" s="5" t="s">
        <v>57</v>
      </c>
      <c r="G13" s="10" t="str">
        <f t="shared" si="4"/>
        <v>52123.54590</v>
      </c>
      <c r="H13" s="45">
        <f t="shared" si="5"/>
        <v>24383</v>
      </c>
      <c r="I13" s="54" t="s">
        <v>78</v>
      </c>
      <c r="J13" s="55" t="s">
        <v>79</v>
      </c>
      <c r="K13" s="54">
        <v>24383</v>
      </c>
      <c r="L13" s="54" t="s">
        <v>80</v>
      </c>
      <c r="M13" s="55" t="s">
        <v>74</v>
      </c>
      <c r="N13" s="55" t="s">
        <v>75</v>
      </c>
      <c r="O13" s="56" t="s">
        <v>81</v>
      </c>
      <c r="P13" s="57" t="s">
        <v>77</v>
      </c>
    </row>
    <row r="14" spans="1:16" ht="12.75" customHeight="1" thickBot="1">
      <c r="A14" s="45" t="str">
        <f t="shared" si="0"/>
        <v>OEJV 0074 </v>
      </c>
      <c r="B14" s="5" t="str">
        <f t="shared" si="1"/>
        <v>I</v>
      </c>
      <c r="C14" s="45">
        <f t="shared" si="2"/>
        <v>52427.4451</v>
      </c>
      <c r="D14" s="10" t="str">
        <f t="shared" si="3"/>
        <v>vis</v>
      </c>
      <c r="E14" s="53">
        <f>VLOOKUP(C14,A!C$21:E$973,3,FALSE)</f>
        <v>24919.193485231706</v>
      </c>
      <c r="F14" s="5" t="s">
        <v>57</v>
      </c>
      <c r="G14" s="10" t="str">
        <f t="shared" si="4"/>
        <v>52427.44510</v>
      </c>
      <c r="H14" s="45">
        <f t="shared" si="5"/>
        <v>24919</v>
      </c>
      <c r="I14" s="54" t="s">
        <v>82</v>
      </c>
      <c r="J14" s="55" t="s">
        <v>83</v>
      </c>
      <c r="K14" s="54">
        <v>24919</v>
      </c>
      <c r="L14" s="54" t="s">
        <v>84</v>
      </c>
      <c r="M14" s="55" t="s">
        <v>74</v>
      </c>
      <c r="N14" s="55" t="s">
        <v>75</v>
      </c>
      <c r="O14" s="56" t="s">
        <v>85</v>
      </c>
      <c r="P14" s="57" t="s">
        <v>77</v>
      </c>
    </row>
    <row r="15" spans="1:16" ht="12.75" customHeight="1" thickBot="1">
      <c r="A15" s="45" t="str">
        <f t="shared" si="0"/>
        <v> BBS 129 </v>
      </c>
      <c r="B15" s="5" t="str">
        <f t="shared" si="1"/>
        <v>II</v>
      </c>
      <c r="C15" s="45">
        <f t="shared" si="2"/>
        <v>52585.3353</v>
      </c>
      <c r="D15" s="10" t="str">
        <f t="shared" si="3"/>
        <v>vis</v>
      </c>
      <c r="E15" s="53">
        <f>VLOOKUP(C15,A!C$21:E$973,3,FALSE)</f>
        <v>25197.68007506729</v>
      </c>
      <c r="F15" s="5" t="s">
        <v>57</v>
      </c>
      <c r="G15" s="10" t="str">
        <f t="shared" si="4"/>
        <v>52585.3353</v>
      </c>
      <c r="H15" s="45">
        <f t="shared" si="5"/>
        <v>25197.5</v>
      </c>
      <c r="I15" s="54" t="s">
        <v>86</v>
      </c>
      <c r="J15" s="55" t="s">
        <v>87</v>
      </c>
      <c r="K15" s="54">
        <v>25197.5</v>
      </c>
      <c r="L15" s="54" t="s">
        <v>88</v>
      </c>
      <c r="M15" s="55" t="s">
        <v>62</v>
      </c>
      <c r="N15" s="55" t="s">
        <v>63</v>
      </c>
      <c r="O15" s="56" t="s">
        <v>89</v>
      </c>
      <c r="P15" s="56" t="s">
        <v>90</v>
      </c>
    </row>
    <row r="16" spans="1:16" ht="12.75" customHeight="1" thickBot="1">
      <c r="A16" s="45" t="str">
        <f t="shared" si="0"/>
        <v>BAVM 173 </v>
      </c>
      <c r="B16" s="5" t="str">
        <f t="shared" si="1"/>
        <v>I</v>
      </c>
      <c r="C16" s="45">
        <f t="shared" si="2"/>
        <v>53258.6065</v>
      </c>
      <c r="D16" s="10" t="str">
        <f t="shared" si="3"/>
        <v>vis</v>
      </c>
      <c r="E16" s="53">
        <f>VLOOKUP(C16,A!C$21:E$973,3,FALSE)</f>
        <v>26385.195199644422</v>
      </c>
      <c r="F16" s="5" t="s">
        <v>57</v>
      </c>
      <c r="G16" s="10" t="str">
        <f t="shared" si="4"/>
        <v>53258.6065</v>
      </c>
      <c r="H16" s="45">
        <f t="shared" si="5"/>
        <v>26385</v>
      </c>
      <c r="I16" s="54" t="s">
        <v>91</v>
      </c>
      <c r="J16" s="55" t="s">
        <v>92</v>
      </c>
      <c r="K16" s="54">
        <v>26385</v>
      </c>
      <c r="L16" s="54" t="s">
        <v>93</v>
      </c>
      <c r="M16" s="55" t="s">
        <v>62</v>
      </c>
      <c r="N16" s="55" t="s">
        <v>75</v>
      </c>
      <c r="O16" s="56" t="s">
        <v>94</v>
      </c>
      <c r="P16" s="57" t="s">
        <v>95</v>
      </c>
    </row>
    <row r="17" spans="1:16" ht="12.75" customHeight="1" thickBot="1">
      <c r="A17" s="45" t="str">
        <f t="shared" si="0"/>
        <v>BAVM 178 </v>
      </c>
      <c r="B17" s="5" t="str">
        <f t="shared" si="1"/>
        <v>II</v>
      </c>
      <c r="C17" s="45">
        <f t="shared" si="2"/>
        <v>53928.467</v>
      </c>
      <c r="D17" s="10" t="str">
        <f t="shared" si="3"/>
        <v>vis</v>
      </c>
      <c r="E17" s="53">
        <f>VLOOKUP(C17,A!C$21:E$973,3,FALSE)</f>
        <v>27566.69453469216</v>
      </c>
      <c r="F17" s="5" t="s">
        <v>57</v>
      </c>
      <c r="G17" s="10" t="str">
        <f t="shared" si="4"/>
        <v>53928.4670</v>
      </c>
      <c r="H17" s="45">
        <f t="shared" si="5"/>
        <v>27566.5</v>
      </c>
      <c r="I17" s="54" t="s">
        <v>96</v>
      </c>
      <c r="J17" s="55" t="s">
        <v>97</v>
      </c>
      <c r="K17" s="54">
        <v>27566.5</v>
      </c>
      <c r="L17" s="54" t="s">
        <v>98</v>
      </c>
      <c r="M17" s="55" t="s">
        <v>74</v>
      </c>
      <c r="N17" s="55" t="s">
        <v>99</v>
      </c>
      <c r="O17" s="56" t="s">
        <v>94</v>
      </c>
      <c r="P17" s="57" t="s">
        <v>100</v>
      </c>
    </row>
    <row r="18" spans="1:16" ht="12.75" customHeight="1" thickBot="1">
      <c r="A18" s="45" t="str">
        <f t="shared" si="0"/>
        <v>BAVM 214 </v>
      </c>
      <c r="B18" s="5" t="str">
        <f t="shared" si="1"/>
        <v>I</v>
      </c>
      <c r="C18" s="45">
        <f t="shared" si="2"/>
        <v>55294.5662</v>
      </c>
      <c r="D18" s="10" t="str">
        <f t="shared" si="3"/>
        <v>vis</v>
      </c>
      <c r="E18" s="53">
        <f>VLOOKUP(C18,A!C$21:E$973,3,FALSE)</f>
        <v>29976.21904973561</v>
      </c>
      <c r="F18" s="5" t="s">
        <v>57</v>
      </c>
      <c r="G18" s="10" t="str">
        <f t="shared" si="4"/>
        <v>55294.5662</v>
      </c>
      <c r="H18" s="45">
        <f t="shared" si="5"/>
        <v>29976</v>
      </c>
      <c r="I18" s="54" t="s">
        <v>106</v>
      </c>
      <c r="J18" s="55" t="s">
        <v>107</v>
      </c>
      <c r="K18" s="54" t="s">
        <v>108</v>
      </c>
      <c r="L18" s="54" t="s">
        <v>109</v>
      </c>
      <c r="M18" s="55" t="s">
        <v>74</v>
      </c>
      <c r="N18" s="55" t="s">
        <v>75</v>
      </c>
      <c r="O18" s="56" t="s">
        <v>110</v>
      </c>
      <c r="P18" s="57" t="s">
        <v>111</v>
      </c>
    </row>
    <row r="19" spans="1:16" ht="12.75" customHeight="1" thickBot="1">
      <c r="A19" s="45" t="str">
        <f t="shared" si="0"/>
        <v>BAVM 228 </v>
      </c>
      <c r="B19" s="5" t="str">
        <f t="shared" si="1"/>
        <v>I</v>
      </c>
      <c r="C19" s="45">
        <f t="shared" si="2"/>
        <v>56010.6365</v>
      </c>
      <c r="D19" s="10" t="str">
        <f t="shared" si="3"/>
        <v>vis</v>
      </c>
      <c r="E19" s="53">
        <f>VLOOKUP(C19,A!C$21:E$973,3,FALSE)</f>
        <v>31239.223187608255</v>
      </c>
      <c r="F19" s="5" t="s">
        <v>57</v>
      </c>
      <c r="G19" s="10" t="str">
        <f t="shared" si="4"/>
        <v>56010.6365</v>
      </c>
      <c r="H19" s="45">
        <f t="shared" si="5"/>
        <v>31239</v>
      </c>
      <c r="I19" s="54" t="s">
        <v>123</v>
      </c>
      <c r="J19" s="55" t="s">
        <v>124</v>
      </c>
      <c r="K19" s="54" t="s">
        <v>125</v>
      </c>
      <c r="L19" s="54" t="s">
        <v>126</v>
      </c>
      <c r="M19" s="55" t="s">
        <v>74</v>
      </c>
      <c r="N19" s="55" t="s">
        <v>75</v>
      </c>
      <c r="O19" s="56" t="s">
        <v>110</v>
      </c>
      <c r="P19" s="57" t="s">
        <v>127</v>
      </c>
    </row>
    <row r="20" spans="1:16" ht="12.75" customHeight="1" thickBot="1">
      <c r="A20" s="45" t="str">
        <f t="shared" si="0"/>
        <v> BBS 126 </v>
      </c>
      <c r="B20" s="5" t="str">
        <f t="shared" si="1"/>
        <v>I</v>
      </c>
      <c r="C20" s="45">
        <f t="shared" si="2"/>
        <v>52093.5</v>
      </c>
      <c r="D20" s="10" t="str">
        <f t="shared" si="3"/>
        <v>vis</v>
      </c>
      <c r="E20" s="53">
        <f>VLOOKUP(C20,A!C$21:E$973,3,FALSE)</f>
        <v>24330.181424373586</v>
      </c>
      <c r="F20" s="5" t="s">
        <v>57</v>
      </c>
      <c r="G20" s="10" t="str">
        <f t="shared" si="4"/>
        <v>52093.5000</v>
      </c>
      <c r="H20" s="45">
        <f t="shared" si="5"/>
        <v>24330</v>
      </c>
      <c r="I20" s="54" t="s">
        <v>66</v>
      </c>
      <c r="J20" s="55" t="s">
        <v>67</v>
      </c>
      <c r="K20" s="54">
        <v>24330</v>
      </c>
      <c r="L20" s="54" t="s">
        <v>68</v>
      </c>
      <c r="M20" s="55" t="s">
        <v>62</v>
      </c>
      <c r="N20" s="55" t="s">
        <v>63</v>
      </c>
      <c r="O20" s="56" t="s">
        <v>69</v>
      </c>
      <c r="P20" s="56" t="s">
        <v>70</v>
      </c>
    </row>
    <row r="21" spans="1:16" ht="12.75" customHeight="1" thickBot="1">
      <c r="A21" s="45" t="str">
        <f t="shared" si="0"/>
        <v>BAVM 203 </v>
      </c>
      <c r="B21" s="5" t="str">
        <f t="shared" si="1"/>
        <v>I</v>
      </c>
      <c r="C21" s="45">
        <f t="shared" si="2"/>
        <v>54697.5555</v>
      </c>
      <c r="D21" s="10" t="str">
        <f t="shared" si="3"/>
        <v>vis</v>
      </c>
      <c r="E21" s="53">
        <f>VLOOKUP(C21,A!C$21:E$973,3,FALSE)</f>
        <v>28923.212125060414</v>
      </c>
      <c r="F21" s="5" t="s">
        <v>57</v>
      </c>
      <c r="G21" s="10" t="str">
        <f t="shared" si="4"/>
        <v>54697.5555</v>
      </c>
      <c r="H21" s="45">
        <f t="shared" si="5"/>
        <v>28923</v>
      </c>
      <c r="I21" s="54" t="s">
        <v>101</v>
      </c>
      <c r="J21" s="55" t="s">
        <v>102</v>
      </c>
      <c r="K21" s="54" t="s">
        <v>103</v>
      </c>
      <c r="L21" s="54" t="s">
        <v>104</v>
      </c>
      <c r="M21" s="55" t="s">
        <v>74</v>
      </c>
      <c r="N21" s="55" t="s">
        <v>99</v>
      </c>
      <c r="O21" s="56" t="s">
        <v>94</v>
      </c>
      <c r="P21" s="57" t="s">
        <v>105</v>
      </c>
    </row>
    <row r="22" spans="1:16" ht="12.75" customHeight="1" thickBot="1">
      <c r="A22" s="45" t="str">
        <f t="shared" si="0"/>
        <v>BAVM 220 </v>
      </c>
      <c r="B22" s="5" t="str">
        <f t="shared" si="1"/>
        <v>I</v>
      </c>
      <c r="C22" s="45">
        <f t="shared" si="2"/>
        <v>55650.6162</v>
      </c>
      <c r="D22" s="10" t="str">
        <f t="shared" si="3"/>
        <v>vis</v>
      </c>
      <c r="E22" s="53">
        <f>VLOOKUP(C22,A!C$21:E$973,3,FALSE)</f>
        <v>30604.219712924056</v>
      </c>
      <c r="F22" s="5" t="s">
        <v>57</v>
      </c>
      <c r="G22" s="10" t="str">
        <f t="shared" si="4"/>
        <v>55650.6162</v>
      </c>
      <c r="H22" s="45">
        <f t="shared" si="5"/>
        <v>30604</v>
      </c>
      <c r="I22" s="54" t="s">
        <v>112</v>
      </c>
      <c r="J22" s="55" t="s">
        <v>113</v>
      </c>
      <c r="K22" s="54" t="s">
        <v>114</v>
      </c>
      <c r="L22" s="54" t="s">
        <v>115</v>
      </c>
      <c r="M22" s="55" t="s">
        <v>74</v>
      </c>
      <c r="N22" s="55" t="s">
        <v>75</v>
      </c>
      <c r="O22" s="56" t="s">
        <v>110</v>
      </c>
      <c r="P22" s="57" t="s">
        <v>116</v>
      </c>
    </row>
    <row r="23" spans="1:16" ht="12.75" customHeight="1" thickBot="1">
      <c r="A23" s="45" t="str">
        <f t="shared" si="0"/>
        <v>BAVM 225 </v>
      </c>
      <c r="B23" s="5" t="str">
        <f t="shared" si="1"/>
        <v>I</v>
      </c>
      <c r="C23" s="45">
        <f t="shared" si="2"/>
        <v>55851.3197</v>
      </c>
      <c r="D23" s="10" t="str">
        <f t="shared" si="3"/>
        <v>vis</v>
      </c>
      <c r="E23" s="53">
        <f>VLOOKUP(C23,A!C$21:E$973,3,FALSE)</f>
        <v>30958.220362002125</v>
      </c>
      <c r="F23" s="5" t="s">
        <v>57</v>
      </c>
      <c r="G23" s="10" t="str">
        <f t="shared" si="4"/>
        <v>55851.3197</v>
      </c>
      <c r="H23" s="45">
        <f t="shared" si="5"/>
        <v>30958</v>
      </c>
      <c r="I23" s="54" t="s">
        <v>117</v>
      </c>
      <c r="J23" s="55" t="s">
        <v>118</v>
      </c>
      <c r="K23" s="54" t="s">
        <v>119</v>
      </c>
      <c r="L23" s="54" t="s">
        <v>120</v>
      </c>
      <c r="M23" s="55" t="s">
        <v>74</v>
      </c>
      <c r="N23" s="55" t="s">
        <v>75</v>
      </c>
      <c r="O23" s="56" t="s">
        <v>121</v>
      </c>
      <c r="P23" s="57" t="s">
        <v>122</v>
      </c>
    </row>
    <row r="24" spans="2:6" ht="12.75">
      <c r="B24" s="5"/>
      <c r="F24" s="5"/>
    </row>
    <row r="25" spans="2:6" ht="12.75">
      <c r="B25" s="5"/>
      <c r="F25" s="5"/>
    </row>
    <row r="26" spans="2:6" ht="12.75">
      <c r="B26" s="5"/>
      <c r="F26" s="5"/>
    </row>
    <row r="27" spans="2:6" ht="12.75">
      <c r="B27" s="5"/>
      <c r="F27" s="5"/>
    </row>
    <row r="28" spans="2:6" ht="12.75">
      <c r="B28" s="5"/>
      <c r="F28" s="5"/>
    </row>
    <row r="29" spans="2:6" ht="12.75">
      <c r="B29" s="5"/>
      <c r="F29" s="5"/>
    </row>
    <row r="30" spans="2:6" ht="12.75">
      <c r="B30" s="5"/>
      <c r="F30" s="5"/>
    </row>
    <row r="31" spans="2:6" ht="12.75">
      <c r="B31" s="5"/>
      <c r="F31" s="5"/>
    </row>
    <row r="32" spans="2:6" ht="12.75">
      <c r="B32" s="5"/>
      <c r="F32" s="5"/>
    </row>
    <row r="33" spans="2:6" ht="12.75">
      <c r="B33" s="5"/>
      <c r="F33" s="5"/>
    </row>
    <row r="34" spans="2:6" ht="12.75">
      <c r="B34" s="5"/>
      <c r="F34" s="5"/>
    </row>
    <row r="35" spans="2:6" ht="12.75">
      <c r="B35" s="5"/>
      <c r="F35" s="5"/>
    </row>
    <row r="36" spans="2:6" ht="12.75">
      <c r="B36" s="5"/>
      <c r="F36" s="5"/>
    </row>
    <row r="37" spans="2:6" ht="12.75">
      <c r="B37" s="5"/>
      <c r="F37" s="5"/>
    </row>
    <row r="38" spans="2:6" ht="12.75">
      <c r="B38" s="5"/>
      <c r="F38" s="5"/>
    </row>
    <row r="39" spans="2:6" ht="12.75">
      <c r="B39" s="5"/>
      <c r="F39" s="5"/>
    </row>
    <row r="40" spans="2:6" ht="12.75">
      <c r="B40" s="5"/>
      <c r="F40" s="5"/>
    </row>
    <row r="41" spans="2:6" ht="12.75">
      <c r="B41" s="5"/>
      <c r="F41" s="5"/>
    </row>
    <row r="42" spans="2:6" ht="12.75">
      <c r="B42" s="5"/>
      <c r="F42" s="5"/>
    </row>
    <row r="43" spans="2:6" ht="12.75">
      <c r="B43" s="5"/>
      <c r="F43" s="5"/>
    </row>
    <row r="44" spans="2:6" ht="12.75">
      <c r="B44" s="5"/>
      <c r="F44" s="5"/>
    </row>
    <row r="45" spans="2:6" ht="12.75">
      <c r="B45" s="5"/>
      <c r="F45" s="5"/>
    </row>
    <row r="46" spans="2:6" ht="12.75">
      <c r="B46" s="5"/>
      <c r="F46" s="5"/>
    </row>
    <row r="47" spans="2:6" ht="12.75">
      <c r="B47" s="5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</sheetData>
  <sheetProtection/>
  <hyperlinks>
    <hyperlink ref="P11" r:id="rId1" display="http://www.konkoly.hu/cgi-bin/IBVS?5263"/>
    <hyperlink ref="P12" r:id="rId2" display="http://var.astro.cz/oejv/issues/oejv0074.pdf"/>
    <hyperlink ref="P13" r:id="rId3" display="http://var.astro.cz/oejv/issues/oejv0074.pdf"/>
    <hyperlink ref="P14" r:id="rId4" display="http://var.astro.cz/oejv/issues/oejv0074.pdf"/>
    <hyperlink ref="P16" r:id="rId5" display="http://www.bav-astro.de/sfs/BAVM_link.php?BAVMnr=173"/>
    <hyperlink ref="P17" r:id="rId6" display="http://www.bav-astro.de/sfs/BAVM_link.php?BAVMnr=178"/>
    <hyperlink ref="P21" r:id="rId7" display="http://www.bav-astro.de/sfs/BAVM_link.php?BAVMnr=203"/>
    <hyperlink ref="P18" r:id="rId8" display="http://www.bav-astro.de/sfs/BAVM_link.php?BAVMnr=214"/>
    <hyperlink ref="P22" r:id="rId9" display="http://www.bav-astro.de/sfs/BAVM_link.php?BAVMnr=220"/>
    <hyperlink ref="P23" r:id="rId10" display="http://www.bav-astro.de/sfs/BAVM_link.php?BAVMnr=225"/>
    <hyperlink ref="P19" r:id="rId11" display="http://www.bav-astro.de/sfs/BAVM_link.php?BAVMnr=22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