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8400" windowHeight="1132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<sst xmlns="http://schemas.openxmlformats.org/spreadsheetml/2006/main" count="230" uniqueCount="103">
  <si>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</si>
  <si>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</si>
  <si>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</si>
  <si>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</si>
  <si>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</si>
  <si>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</si>
  <si>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</si>
  <si>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</si>
  <si>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</si>
  <si>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</si>
  <si>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</si>
  <si>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</si>
  <si>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</si>
  <si>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</si>
  <si>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</si>
  <si>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</si>
  <si>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</si>
  <si>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</si>
  <si>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</si>
  <si>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</si>
  <si>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</si>
  <si>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</si>
  <si>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</si>
  <si>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</si>
  <si>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</si>
  <si>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</si>
  <si>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</si>
  <si>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</si>
  <si>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</si>
  <si>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</si>
  <si>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</si>
  <si>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</si>
  <si>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</si>
  <si>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</si>
  <si>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</si>
  <si>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</si>
  <si>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IBVS 4105</t>
  </si>
  <si>
    <t>I</t>
  </si>
  <si>
    <t>PE</t>
  </si>
  <si>
    <t>not avail.</t>
  </si>
  <si>
    <t>V530 Cyg / GSC 3593-2868</t>
  </si>
  <si>
    <t>E</t>
  </si>
  <si>
    <t>Minima from the Lichtenknecker Database of the BAV</t>
  </si>
  <si>
    <t>C</t>
  </si>
  <si>
    <t>CCD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</si>
  <si>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</si>
  <si>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</si>
  <si>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</si>
  <si>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</si>
  <si>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</si>
  <si>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</si>
  <si>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</si>
  <si>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2429112.56 </t>
  </si>
  <si>
    <t> 02.08.1938 01:26 </t>
  </si>
  <si>
    <t> -0.17 </t>
  </si>
  <si>
    <t> P.Ahnert et al. </t>
  </si>
  <si>
    <t> VSS 1.309 </t>
  </si>
  <si>
    <t>2439685.434 </t>
  </si>
  <si>
    <t> 13.07.1967 22:24 </t>
  </si>
  <si>
    <t> -0.090 </t>
  </si>
  <si>
    <t>E </t>
  </si>
  <si>
    <t>?</t>
  </si>
  <si>
    <t> A.Pugach </t>
  </si>
  <si>
    <t>IBVS 3182 </t>
  </si>
  <si>
    <t>2442278.280 </t>
  </si>
  <si>
    <t> 18.08.1974 18:43 </t>
  </si>
  <si>
    <t> 0.387 </t>
  </si>
  <si>
    <t>2445226.419 </t>
  </si>
  <si>
    <t> 13.09.1982 22:03 </t>
  </si>
  <si>
    <t> 0.343 </t>
  </si>
  <si>
    <t>2448072.3946 </t>
  </si>
  <si>
    <t> 29.06.1990 21:28 </t>
  </si>
  <si>
    <t> -0.2039 </t>
  </si>
  <si>
    <t> S.Melnikov et al. </t>
  </si>
  <si>
    <t>IBVS 4105 </t>
  </si>
  <si>
    <t>2448123.3514 </t>
  </si>
  <si>
    <t> 19.08.1990 20:26 </t>
  </si>
  <si>
    <t> -0.0779 </t>
  </si>
  <si>
    <t>2448174.1931 </t>
  </si>
  <si>
    <t> 09.10.1990 16:38 </t>
  </si>
  <si>
    <t> -0.0670 </t>
  </si>
  <si>
    <t>2448428.4361 </t>
  </si>
  <si>
    <t> 20.06.1991 22:27 </t>
  </si>
  <si>
    <t> 0.0223 </t>
  </si>
  <si>
    <t>2448479.3323 </t>
  </si>
  <si>
    <t> 10.08.1991 19:58 </t>
  </si>
  <si>
    <t> 0.0877 </t>
  </si>
  <si>
    <t>2448835.3494 </t>
  </si>
  <si>
    <t> 31.07.1992 20:23 </t>
  </si>
  <si>
    <t> 0.2895 </t>
  </si>
  <si>
    <t>2448886.1710 </t>
  </si>
  <si>
    <t> 20.09.1992 16:06 </t>
  </si>
  <si>
    <t> 0.2804 </t>
  </si>
  <si>
    <t>2449190.3641 </t>
  </si>
  <si>
    <t> 21.07.1993 20:44 </t>
  </si>
  <si>
    <t> -0.5110 </t>
  </si>
  <si>
    <t>2449191.3547 </t>
  </si>
  <si>
    <t> 22.07.1993 20:30 </t>
  </si>
  <si>
    <t> 0.4796 </t>
  </si>
  <si>
    <t>2449241.2487 </t>
  </si>
  <si>
    <t> 10.09.1993 17:58 </t>
  </si>
  <si>
    <t> -0.4572 </t>
  </si>
  <si>
    <t>IBVS 3182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</si>
</sst>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V530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A!$D$21:$D$237</c:f>
                <c:numCache>
                  <c:ptCount val="2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</c:numCache>
              </c:numRef>
            </c:plus>
            <c:minus>
              <c:numRef>
                <c:f>A!$D$21:$D$237</c:f>
                <c:numCache>
                  <c:ptCount val="21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A!$H$21:$H$997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A!$I$21:$I$997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A!$J$21:$J$997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A!$K$21:$K$997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A!$L$21:$L$997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A!$M$21:$M$997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A!$N$21:$N$997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A!$F$21:$F$997</c:f>
              <c:numCache/>
            </c:numRef>
          </c:xVal>
          <c:yVal>
            <c:numRef>
              <c:f>A!$O$21:$O$997</c:f>
              <c:numCache/>
            </c:numRef>
          </c:yVal>
          <c:smooth val="0"/>
        </c:ser>
        <c:axId val="31052849"/>
        <c:axId val="11040186"/>
      </c:scatterChart>
      <c:valAx>
        <c:axId val="31052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0186"/>
        <c:crosses val="autoZero"/>
        <c:crossBetween val="midCat"/>
        <c:dispUnits/>
      </c:valAx>
      <c:valAx>
        <c:axId val="1104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28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386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182" TargetMode="External" /><Relationship Id="rId2" Type="http://schemas.openxmlformats.org/officeDocument/2006/relationships/hyperlink" Target="http://www.konkoly.hu/cgi-bin/IBVS?3182" TargetMode="External" /><Relationship Id="rId3" Type="http://schemas.openxmlformats.org/officeDocument/2006/relationships/hyperlink" Target="http://www.konkoly.hu/cgi-bin/IBVS?3182" TargetMode="External" /><Relationship Id="rId4" Type="http://schemas.openxmlformats.org/officeDocument/2006/relationships/hyperlink" Target="http://www.konkoly.hu/cgi-bin/IBVS?4105" TargetMode="External" /><Relationship Id="rId5" Type="http://schemas.openxmlformats.org/officeDocument/2006/relationships/hyperlink" Target="http://www.konkoly.hu/cgi-bin/IBVS?4105" TargetMode="External" /><Relationship Id="rId6" Type="http://schemas.openxmlformats.org/officeDocument/2006/relationships/hyperlink" Target="http://www.konkoly.hu/cgi-bin/IBVS?4105" TargetMode="External" /><Relationship Id="rId7" Type="http://schemas.openxmlformats.org/officeDocument/2006/relationships/hyperlink" Target="http://www.konkoly.hu/cgi-bin/IBVS?4105" TargetMode="External" /><Relationship Id="rId8" Type="http://schemas.openxmlformats.org/officeDocument/2006/relationships/hyperlink" Target="http://www.konkoly.hu/cgi-bin/IBVS?4105" TargetMode="External" /><Relationship Id="rId9" Type="http://schemas.openxmlformats.org/officeDocument/2006/relationships/hyperlink" Target="http://www.konkoly.hu/cgi-bin/IBVS?4105" TargetMode="External" /><Relationship Id="rId10" Type="http://schemas.openxmlformats.org/officeDocument/2006/relationships/hyperlink" Target="http://www.konkoly.hu/cgi-bin/IBVS?4105" TargetMode="External" /><Relationship Id="rId11" Type="http://schemas.openxmlformats.org/officeDocument/2006/relationships/hyperlink" Target="http://www.konkoly.hu/cgi-bin/IBVS?4105" TargetMode="External" /><Relationship Id="rId12" Type="http://schemas.openxmlformats.org/officeDocument/2006/relationships/hyperlink" Target="http://www.konkoly.hu/cgi-bin/IBVS?4105" TargetMode="External" /><Relationship Id="rId13" Type="http://schemas.openxmlformats.org/officeDocument/2006/relationships/hyperlink" Target="http://www.konkoly.hu/cgi-bin/IBVS?410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8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23</v>
      </c>
      <c r="B2" s="30" t="s">
        <v>41</v>
      </c>
      <c r="D2" s="3"/>
    </row>
    <row r="3" ht="13.5" thickBot="1"/>
    <row r="4" spans="1:4" ht="14.25" thickBot="1" thickTop="1">
      <c r="A4" s="5" t="s">
        <v>0</v>
      </c>
      <c r="C4" s="8" t="s">
        <v>39</v>
      </c>
      <c r="D4" s="9" t="s">
        <v>39</v>
      </c>
    </row>
    <row r="5" spans="1:4" ht="13.5" thickTop="1">
      <c r="A5" s="11" t="s">
        <v>28</v>
      </c>
      <c r="B5" s="12"/>
      <c r="C5" s="13">
        <v>-9.5</v>
      </c>
      <c r="D5" s="12" t="s">
        <v>29</v>
      </c>
    </row>
    <row r="6" ht="12.75">
      <c r="A6" s="5" t="s">
        <v>1</v>
      </c>
    </row>
    <row r="7" spans="1:3" ht="12.75">
      <c r="A7" t="s">
        <v>2</v>
      </c>
      <c r="C7">
        <v>48072.3946</v>
      </c>
    </row>
    <row r="8" spans="1:3" ht="12.75">
      <c r="A8" t="s">
        <v>3</v>
      </c>
      <c r="C8">
        <v>50.830754</v>
      </c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INTERCEPT(INDIRECT($D$9):G990,INDIRECT($C$9):F990)</f>
        <v>0.3066566179893022</v>
      </c>
      <c r="D11" s="3"/>
      <c r="E11" s="12"/>
    </row>
    <row r="12" spans="1:5" ht="12.75">
      <c r="A12" s="12" t="s">
        <v>16</v>
      </c>
      <c r="B12" s="12"/>
      <c r="C12" s="23">
        <f ca="1">SLOPE(INDIRECT($D$9):G990,INDIRECT($C$9):F990)</f>
        <v>0.0005116767285294599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(C7+C11)+(C8+C12)*INT(MAX(F21:F3531))</f>
        <v>49241.82036718275</v>
      </c>
      <c r="E15" s="16" t="s">
        <v>33</v>
      </c>
      <c r="F15" s="13">
        <v>1</v>
      </c>
    </row>
    <row r="16" spans="1:6" ht="12.75">
      <c r="A16" s="18" t="s">
        <v>4</v>
      </c>
      <c r="B16" s="12"/>
      <c r="C16" s="19">
        <f>+C8+C12</f>
        <v>50.83126567672853</v>
      </c>
      <c r="E16" s="16" t="s">
        <v>30</v>
      </c>
      <c r="F16" s="17">
        <f ca="1">NOW()+15018.5+$C$5/24</f>
        <v>59896.79440590277</v>
      </c>
    </row>
    <row r="17" spans="1:6" ht="13.5" thickBot="1">
      <c r="A17" s="16" t="s">
        <v>27</v>
      </c>
      <c r="B17" s="12"/>
      <c r="C17" s="12">
        <f>COUNT(C21:C2189)</f>
        <v>16</v>
      </c>
      <c r="E17" s="16" t="s">
        <v>34</v>
      </c>
      <c r="F17" s="17">
        <f>ROUND(2*(F16-$C$7)/$C$8,0)/2+F15</f>
        <v>233.5</v>
      </c>
    </row>
    <row r="18" spans="1:6" ht="14.25" thickBot="1" thickTop="1">
      <c r="A18" s="18" t="s">
        <v>5</v>
      </c>
      <c r="B18" s="12"/>
      <c r="C18" s="21">
        <f>+C15</f>
        <v>49241.82036718275</v>
      </c>
      <c r="D18" s="22">
        <f>+C16</f>
        <v>50.83126567672853</v>
      </c>
      <c r="E18" s="16" t="s">
        <v>35</v>
      </c>
      <c r="F18" s="25">
        <f>ROUND(2*(F16-$C$15)/$C$16,0)/2+F15</f>
        <v>210.5</v>
      </c>
    </row>
    <row r="19" spans="5:6" ht="13.5" thickTop="1">
      <c r="E19" s="16" t="s">
        <v>31</v>
      </c>
      <c r="F19" s="20">
        <f>+$C$15+$C$16*F18-15018.5-$C$5/24</f>
        <v>44923.697625467445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50</v>
      </c>
      <c r="J20" s="7" t="s">
        <v>38</v>
      </c>
      <c r="K20" s="7" t="s">
        <v>44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</row>
    <row r="21" spans="1:17" ht="12.75">
      <c r="A21" s="44" t="s">
        <v>56</v>
      </c>
      <c r="B21" s="46" t="s">
        <v>37</v>
      </c>
      <c r="C21" s="45">
        <v>29112.56</v>
      </c>
      <c r="D21" s="45" t="s">
        <v>50</v>
      </c>
      <c r="E21">
        <f aca="true" t="shared" si="0" ref="E21:E36">+(C21-C$7)/C$8</f>
        <v>-372.9992791371932</v>
      </c>
      <c r="F21">
        <f aca="true" t="shared" si="1" ref="F21:F36">ROUND(2*E21,0)/2</f>
        <v>-373</v>
      </c>
      <c r="G21">
        <f aca="true" t="shared" si="2" ref="G21:G32">+C21-(C$7+F21*C$8)</f>
        <v>0.03664200000275741</v>
      </c>
      <c r="I21">
        <f>+G21</f>
        <v>0.03664200000275741</v>
      </c>
      <c r="O21">
        <f aca="true" t="shared" si="3" ref="O21:O36">+C$11+C$12*$F21</f>
        <v>0.11580119824781365</v>
      </c>
      <c r="Q21" s="2">
        <f aca="true" t="shared" si="4" ref="Q21:Q36">+C21-15018.5</f>
        <v>14094.060000000001</v>
      </c>
    </row>
    <row r="22" spans="1:18" ht="12.75">
      <c r="A22" s="44" t="s">
        <v>102</v>
      </c>
      <c r="B22" s="46" t="s">
        <v>37</v>
      </c>
      <c r="C22" s="45">
        <v>39685.434</v>
      </c>
      <c r="D22" s="45" t="s">
        <v>50</v>
      </c>
      <c r="E22">
        <f t="shared" si="0"/>
        <v>-164.99776100114508</v>
      </c>
      <c r="F22">
        <f t="shared" si="1"/>
        <v>-165</v>
      </c>
      <c r="G22">
        <f t="shared" si="2"/>
        <v>0.11381000000255881</v>
      </c>
      <c r="J22">
        <f aca="true" t="shared" si="5" ref="J22:J32">+G22</f>
        <v>0.11381000000255881</v>
      </c>
      <c r="O22">
        <f t="shared" si="3"/>
        <v>0.22222995778194132</v>
      </c>
      <c r="Q22" s="2">
        <f t="shared" si="4"/>
        <v>24666.934</v>
      </c>
      <c r="R22" t="s">
        <v>38</v>
      </c>
    </row>
    <row r="23" spans="1:18" ht="12.75">
      <c r="A23" s="44" t="s">
        <v>102</v>
      </c>
      <c r="B23" s="46" t="s">
        <v>37</v>
      </c>
      <c r="C23" s="45">
        <v>42278.28</v>
      </c>
      <c r="D23" s="45" t="s">
        <v>50</v>
      </c>
      <c r="E23">
        <f t="shared" si="0"/>
        <v>-113.98836617690151</v>
      </c>
      <c r="F23">
        <f t="shared" si="1"/>
        <v>-114</v>
      </c>
      <c r="G23">
        <f t="shared" si="2"/>
        <v>0.5913559999971767</v>
      </c>
      <c r="J23">
        <f t="shared" si="5"/>
        <v>0.5913559999971767</v>
      </c>
      <c r="O23">
        <f t="shared" si="3"/>
        <v>0.2483254709369438</v>
      </c>
      <c r="Q23" s="2">
        <f t="shared" si="4"/>
        <v>27259.78</v>
      </c>
      <c r="R23" t="s">
        <v>38</v>
      </c>
    </row>
    <row r="24" spans="1:18" ht="12.75">
      <c r="A24" s="44" t="s">
        <v>102</v>
      </c>
      <c r="B24" s="46" t="s">
        <v>37</v>
      </c>
      <c r="C24" s="45">
        <v>45226.419</v>
      </c>
      <c r="D24" s="45" t="s">
        <v>50</v>
      </c>
      <c r="E24">
        <f t="shared" si="0"/>
        <v>-55.98924619532494</v>
      </c>
      <c r="F24">
        <f t="shared" si="1"/>
        <v>-56</v>
      </c>
      <c r="G24">
        <f t="shared" si="2"/>
        <v>0.546624000002339</v>
      </c>
      <c r="J24">
        <f t="shared" si="5"/>
        <v>0.546624000002339</v>
      </c>
      <c r="O24">
        <f t="shared" si="3"/>
        <v>0.2780027211916525</v>
      </c>
      <c r="Q24" s="2">
        <f t="shared" si="4"/>
        <v>30207.919</v>
      </c>
      <c r="R24" t="s">
        <v>38</v>
      </c>
    </row>
    <row r="25" spans="1:18" ht="12.75">
      <c r="A25" s="28" t="s">
        <v>36</v>
      </c>
      <c r="B25" s="29" t="s">
        <v>37</v>
      </c>
      <c r="C25" s="28">
        <v>48072.3946</v>
      </c>
      <c r="D25" s="28" t="s">
        <v>38</v>
      </c>
      <c r="E25">
        <f t="shared" si="0"/>
        <v>0</v>
      </c>
      <c r="F25">
        <f t="shared" si="1"/>
        <v>0</v>
      </c>
      <c r="G25">
        <f t="shared" si="2"/>
        <v>0</v>
      </c>
      <c r="J25">
        <f t="shared" si="5"/>
        <v>0</v>
      </c>
      <c r="O25">
        <f t="shared" si="3"/>
        <v>0.3066566179893022</v>
      </c>
      <c r="Q25" s="2">
        <f t="shared" si="4"/>
        <v>33053.8946</v>
      </c>
      <c r="R25" t="s">
        <v>38</v>
      </c>
    </row>
    <row r="26" spans="1:18" ht="12.75">
      <c r="A26" s="28" t="s">
        <v>36</v>
      </c>
      <c r="B26" s="29" t="s">
        <v>37</v>
      </c>
      <c r="C26" s="28">
        <v>48123.3514</v>
      </c>
      <c r="D26" s="28" t="s">
        <v>38</v>
      </c>
      <c r="E26">
        <f t="shared" si="0"/>
        <v>1.0024797192660162</v>
      </c>
      <c r="F26">
        <f t="shared" si="1"/>
        <v>1</v>
      </c>
      <c r="G26">
        <f t="shared" si="2"/>
        <v>0.12604599999758648</v>
      </c>
      <c r="J26">
        <f t="shared" si="5"/>
        <v>0.12604599999758648</v>
      </c>
      <c r="O26">
        <f t="shared" si="3"/>
        <v>0.3071682947178317</v>
      </c>
      <c r="Q26" s="2">
        <f t="shared" si="4"/>
        <v>33104.8514</v>
      </c>
      <c r="R26" t="s">
        <v>38</v>
      </c>
    </row>
    <row r="27" spans="1:18" ht="12.75">
      <c r="A27" s="44" t="s">
        <v>102</v>
      </c>
      <c r="B27" s="46" t="s">
        <v>37</v>
      </c>
      <c r="C27" s="45">
        <v>48174.1931</v>
      </c>
      <c r="D27" s="45" t="s">
        <v>50</v>
      </c>
      <c r="E27">
        <f t="shared" si="0"/>
        <v>2.0026950613401713</v>
      </c>
      <c r="F27">
        <f t="shared" si="1"/>
        <v>2</v>
      </c>
      <c r="G27">
        <f t="shared" si="2"/>
        <v>0.13699199999973644</v>
      </c>
      <c r="J27">
        <f t="shared" si="5"/>
        <v>0.13699199999973644</v>
      </c>
      <c r="O27">
        <f t="shared" si="3"/>
        <v>0.3076799714463611</v>
      </c>
      <c r="Q27" s="2">
        <f t="shared" si="4"/>
        <v>33155.6931</v>
      </c>
      <c r="R27" t="s">
        <v>38</v>
      </c>
    </row>
    <row r="28" spans="1:18" ht="12.75">
      <c r="A28" s="28" t="s">
        <v>36</v>
      </c>
      <c r="B28" s="29" t="s">
        <v>37</v>
      </c>
      <c r="C28" s="28">
        <v>48174.193100000004</v>
      </c>
      <c r="D28" s="28" t="s">
        <v>38</v>
      </c>
      <c r="E28">
        <f t="shared" si="0"/>
        <v>2.0026950613403143</v>
      </c>
      <c r="F28">
        <f t="shared" si="1"/>
        <v>2</v>
      </c>
      <c r="G28">
        <f t="shared" si="2"/>
        <v>0.1369920000070124</v>
      </c>
      <c r="J28">
        <f t="shared" si="5"/>
        <v>0.1369920000070124</v>
      </c>
      <c r="O28">
        <f t="shared" si="3"/>
        <v>0.3076799714463611</v>
      </c>
      <c r="Q28" s="2">
        <f t="shared" si="4"/>
        <v>33155.693100000004</v>
      </c>
      <c r="R28" t="s">
        <v>38</v>
      </c>
    </row>
    <row r="29" spans="1:18" ht="12.75">
      <c r="A29" s="28" t="s">
        <v>36</v>
      </c>
      <c r="B29" s="29" t="s">
        <v>37</v>
      </c>
      <c r="C29" s="28">
        <v>48428.4361</v>
      </c>
      <c r="D29" s="28" t="s">
        <v>38</v>
      </c>
      <c r="E29">
        <f t="shared" si="0"/>
        <v>7.0044504946749235</v>
      </c>
      <c r="F29">
        <f t="shared" si="1"/>
        <v>7</v>
      </c>
      <c r="G29">
        <f t="shared" si="2"/>
        <v>0.22622199999750592</v>
      </c>
      <c r="J29">
        <f t="shared" si="5"/>
        <v>0.22622199999750592</v>
      </c>
      <c r="O29">
        <f t="shared" si="3"/>
        <v>0.31023835508900843</v>
      </c>
      <c r="Q29" s="2">
        <f t="shared" si="4"/>
        <v>33409.9361</v>
      </c>
      <c r="R29" t="s">
        <v>38</v>
      </c>
    </row>
    <row r="30" spans="1:18" ht="12.75">
      <c r="A30" s="28" t="s">
        <v>36</v>
      </c>
      <c r="B30" s="29" t="s">
        <v>37</v>
      </c>
      <c r="C30" s="28">
        <v>48479.3323</v>
      </c>
      <c r="D30" s="28" t="s">
        <v>38</v>
      </c>
      <c r="E30">
        <f t="shared" si="0"/>
        <v>8.00573802230048</v>
      </c>
      <c r="F30">
        <f t="shared" si="1"/>
        <v>8</v>
      </c>
      <c r="G30">
        <f t="shared" si="2"/>
        <v>0.291668000005302</v>
      </c>
      <c r="J30">
        <f t="shared" si="5"/>
        <v>0.291668000005302</v>
      </c>
      <c r="O30">
        <f t="shared" si="3"/>
        <v>0.3107500318175379</v>
      </c>
      <c r="Q30" s="2">
        <f t="shared" si="4"/>
        <v>33460.8323</v>
      </c>
      <c r="R30" t="s">
        <v>38</v>
      </c>
    </row>
    <row r="31" spans="1:18" ht="12.75">
      <c r="A31" s="28" t="s">
        <v>36</v>
      </c>
      <c r="B31" s="29" t="s">
        <v>37</v>
      </c>
      <c r="C31" s="28">
        <v>48835.3494</v>
      </c>
      <c r="D31" s="28" t="s">
        <v>38</v>
      </c>
      <c r="E31">
        <f t="shared" si="0"/>
        <v>15.009708492618456</v>
      </c>
      <c r="F31">
        <f t="shared" si="1"/>
        <v>15</v>
      </c>
      <c r="G31">
        <f t="shared" si="2"/>
        <v>0.4934900000007474</v>
      </c>
      <c r="J31">
        <f t="shared" si="5"/>
        <v>0.4934900000007474</v>
      </c>
      <c r="O31">
        <f t="shared" si="3"/>
        <v>0.3143317689172441</v>
      </c>
      <c r="Q31" s="2">
        <f t="shared" si="4"/>
        <v>33816.8494</v>
      </c>
      <c r="R31" t="s">
        <v>38</v>
      </c>
    </row>
    <row r="32" spans="1:18" ht="12.75">
      <c r="A32" s="28" t="s">
        <v>36</v>
      </c>
      <c r="B32" s="29" t="s">
        <v>37</v>
      </c>
      <c r="C32" s="28">
        <v>48886.171</v>
      </c>
      <c r="D32" s="28" t="s">
        <v>38</v>
      </c>
      <c r="E32">
        <f t="shared" si="0"/>
        <v>16.009528404792157</v>
      </c>
      <c r="F32">
        <f t="shared" si="1"/>
        <v>16</v>
      </c>
      <c r="G32">
        <f t="shared" si="2"/>
        <v>0.484336000001349</v>
      </c>
      <c r="J32">
        <f t="shared" si="5"/>
        <v>0.484336000001349</v>
      </c>
      <c r="O32">
        <f t="shared" si="3"/>
        <v>0.3148434456457736</v>
      </c>
      <c r="Q32" s="2">
        <f t="shared" si="4"/>
        <v>33867.671</v>
      </c>
      <c r="R32" t="s">
        <v>38</v>
      </c>
    </row>
    <row r="33" spans="1:18" ht="12.75">
      <c r="A33" s="28" t="s">
        <v>36</v>
      </c>
      <c r="B33" s="29" t="s">
        <v>37</v>
      </c>
      <c r="C33" s="28">
        <v>49190.3641</v>
      </c>
      <c r="D33" s="28" t="s">
        <v>38</v>
      </c>
      <c r="E33">
        <f t="shared" si="0"/>
        <v>21.993958618044488</v>
      </c>
      <c r="F33">
        <f t="shared" si="1"/>
        <v>22</v>
      </c>
      <c r="H33" s="25"/>
      <c r="O33">
        <f t="shared" si="3"/>
        <v>0.31791350601695034</v>
      </c>
      <c r="Q33" s="2">
        <f t="shared" si="4"/>
        <v>34171.8641</v>
      </c>
      <c r="R33" t="s">
        <v>38</v>
      </c>
    </row>
    <row r="34" spans="1:18" ht="12.75">
      <c r="A34" s="28" t="s">
        <v>36</v>
      </c>
      <c r="B34" s="29" t="s">
        <v>37</v>
      </c>
      <c r="C34" s="28">
        <v>49191.354699999996</v>
      </c>
      <c r="D34" s="28" t="s">
        <v>38</v>
      </c>
      <c r="E34">
        <f t="shared" si="0"/>
        <v>22.013446820009726</v>
      </c>
      <c r="F34">
        <f t="shared" si="1"/>
        <v>22</v>
      </c>
      <c r="G34">
        <f>+C34-(C$7+F34*C$8)</f>
        <v>0.6835119999959716</v>
      </c>
      <c r="H34">
        <f>+G34</f>
        <v>0.6835119999959716</v>
      </c>
      <c r="O34">
        <f t="shared" si="3"/>
        <v>0.31791350601695034</v>
      </c>
      <c r="Q34" s="2">
        <f t="shared" si="4"/>
        <v>34172.854699999996</v>
      </c>
      <c r="R34" t="s">
        <v>38</v>
      </c>
    </row>
    <row r="35" spans="1:18" ht="12.75">
      <c r="A35" s="44" t="s">
        <v>102</v>
      </c>
      <c r="B35" s="46" t="s">
        <v>37</v>
      </c>
      <c r="C35" s="45">
        <v>49191.3547</v>
      </c>
      <c r="D35" s="45" t="s">
        <v>50</v>
      </c>
      <c r="E35">
        <f t="shared" si="0"/>
        <v>22.013446820009868</v>
      </c>
      <c r="F35">
        <f t="shared" si="1"/>
        <v>22</v>
      </c>
      <c r="G35">
        <f>+C35-(C$7+F35*C$8)</f>
        <v>0.6835120000032475</v>
      </c>
      <c r="J35">
        <f>+G35</f>
        <v>0.6835120000032475</v>
      </c>
      <c r="O35">
        <f t="shared" si="3"/>
        <v>0.31791350601695034</v>
      </c>
      <c r="Q35" s="2">
        <f t="shared" si="4"/>
        <v>34172.8547</v>
      </c>
      <c r="R35" t="s">
        <v>38</v>
      </c>
    </row>
    <row r="36" spans="1:18" ht="12.75">
      <c r="A36" s="44" t="s">
        <v>102</v>
      </c>
      <c r="B36" s="46" t="s">
        <v>37</v>
      </c>
      <c r="C36" s="45">
        <v>49241.2487</v>
      </c>
      <c r="D36" s="45" t="s">
        <v>50</v>
      </c>
      <c r="E36">
        <f t="shared" si="0"/>
        <v>22.995017937369113</v>
      </c>
      <c r="F36">
        <f t="shared" si="1"/>
        <v>23</v>
      </c>
      <c r="G36">
        <f>+C36-(C$7+F36*C$8)</f>
        <v>-0.2532420000061393</v>
      </c>
      <c r="J36">
        <f>+G36</f>
        <v>-0.2532420000061393</v>
      </c>
      <c r="O36">
        <f t="shared" si="3"/>
        <v>0.3184251827454798</v>
      </c>
      <c r="Q36" s="2">
        <f t="shared" si="4"/>
        <v>34222.7487</v>
      </c>
      <c r="R36" t="s">
        <v>38</v>
      </c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0"/>
  <sheetViews>
    <sheetView zoomScalePageLayoutView="0" workbookViewId="0" topLeftCell="A5">
      <selection activeCell="A18" sqref="A18:D24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1" t="s">
        <v>42</v>
      </c>
      <c r="I1" s="32" t="s">
        <v>43</v>
      </c>
      <c r="J1" s="33" t="s">
        <v>44</v>
      </c>
    </row>
    <row r="2" spans="9:10" ht="12.75">
      <c r="I2" s="34" t="s">
        <v>41</v>
      </c>
      <c r="J2" s="35" t="s">
        <v>38</v>
      </c>
    </row>
    <row r="3" spans="1:10" ht="12.75">
      <c r="A3" s="36" t="s">
        <v>45</v>
      </c>
      <c r="I3" s="34" t="s">
        <v>46</v>
      </c>
      <c r="J3" s="35" t="s">
        <v>47</v>
      </c>
    </row>
    <row r="4" spans="9:10" ht="12.75">
      <c r="I4" s="34" t="s">
        <v>48</v>
      </c>
      <c r="J4" s="35" t="s">
        <v>47</v>
      </c>
    </row>
    <row r="5" spans="9:10" ht="13.5" thickBot="1">
      <c r="I5" s="37" t="s">
        <v>49</v>
      </c>
      <c r="J5" s="38" t="s">
        <v>50</v>
      </c>
    </row>
    <row r="10" ht="13.5" thickBot="1"/>
    <row r="11" spans="1:16" ht="12.75" customHeight="1" thickBot="1">
      <c r="A11" s="10" t="str">
        <f aca="true" t="shared" si="0" ref="A11:A24">P11</f>
        <v>IBVS 4105 </v>
      </c>
      <c r="B11" s="3" t="str">
        <f aca="true" t="shared" si="1" ref="B11:B24">IF(H11=INT(H11),"I","II")</f>
        <v>I</v>
      </c>
      <c r="C11" s="10">
        <f aca="true" t="shared" si="2" ref="C11:C24">1*G11</f>
        <v>48072.3946</v>
      </c>
      <c r="D11" s="12" t="str">
        <f aca="true" t="shared" si="3" ref="D11:D24">VLOOKUP(F11,I$1:J$5,2,FALSE)</f>
        <v>vis</v>
      </c>
      <c r="E11" s="39">
        <f>VLOOKUP(C11,A!C$21:E$973,3,FALSE)</f>
        <v>0</v>
      </c>
      <c r="F11" s="3" t="s">
        <v>49</v>
      </c>
      <c r="G11" s="12" t="str">
        <f aca="true" t="shared" si="4" ref="G11:G24">MID(I11,3,LEN(I11)-3)</f>
        <v>48072.3946</v>
      </c>
      <c r="H11" s="10">
        <f aca="true" t="shared" si="5" ref="H11:H24">1*K11</f>
        <v>-88</v>
      </c>
      <c r="I11" s="40" t="s">
        <v>70</v>
      </c>
      <c r="J11" s="41" t="s">
        <v>71</v>
      </c>
      <c r="K11" s="40">
        <v>-88</v>
      </c>
      <c r="L11" s="40" t="s">
        <v>72</v>
      </c>
      <c r="M11" s="41" t="s">
        <v>60</v>
      </c>
      <c r="N11" s="41" t="s">
        <v>61</v>
      </c>
      <c r="O11" s="42" t="s">
        <v>73</v>
      </c>
      <c r="P11" s="43" t="s">
        <v>74</v>
      </c>
    </row>
    <row r="12" spans="1:16" ht="12.75" customHeight="1" thickBot="1">
      <c r="A12" s="10" t="str">
        <f t="shared" si="0"/>
        <v>IBVS 4105 </v>
      </c>
      <c r="B12" s="3" t="str">
        <f t="shared" si="1"/>
        <v>I</v>
      </c>
      <c r="C12" s="10">
        <f t="shared" si="2"/>
        <v>48123.3514</v>
      </c>
      <c r="D12" s="12" t="str">
        <f t="shared" si="3"/>
        <v>vis</v>
      </c>
      <c r="E12" s="39">
        <f>VLOOKUP(C12,A!C$21:E$973,3,FALSE)</f>
        <v>1.0024797192660162</v>
      </c>
      <c r="F12" s="3" t="s">
        <v>49</v>
      </c>
      <c r="G12" s="12" t="str">
        <f t="shared" si="4"/>
        <v>48123.3514</v>
      </c>
      <c r="H12" s="10">
        <f t="shared" si="5"/>
        <v>-87</v>
      </c>
      <c r="I12" s="40" t="s">
        <v>75</v>
      </c>
      <c r="J12" s="41" t="s">
        <v>76</v>
      </c>
      <c r="K12" s="40">
        <v>-87</v>
      </c>
      <c r="L12" s="40" t="s">
        <v>77</v>
      </c>
      <c r="M12" s="41" t="s">
        <v>60</v>
      </c>
      <c r="N12" s="41" t="s">
        <v>61</v>
      </c>
      <c r="O12" s="42" t="s">
        <v>73</v>
      </c>
      <c r="P12" s="43" t="s">
        <v>74</v>
      </c>
    </row>
    <row r="13" spans="1:16" ht="12.75" customHeight="1" thickBot="1">
      <c r="A13" s="10" t="str">
        <f t="shared" si="0"/>
        <v>IBVS 4105 </v>
      </c>
      <c r="B13" s="3" t="str">
        <f t="shared" si="1"/>
        <v>I</v>
      </c>
      <c r="C13" s="10">
        <f t="shared" si="2"/>
        <v>48428.4361</v>
      </c>
      <c r="D13" s="12" t="str">
        <f t="shared" si="3"/>
        <v>vis</v>
      </c>
      <c r="E13" s="39">
        <f>VLOOKUP(C13,A!C$21:E$973,3,FALSE)</f>
        <v>7.0044504946749235</v>
      </c>
      <c r="F13" s="3" t="s">
        <v>49</v>
      </c>
      <c r="G13" s="12" t="str">
        <f t="shared" si="4"/>
        <v>48428.4361</v>
      </c>
      <c r="H13" s="10">
        <f t="shared" si="5"/>
        <v>-81</v>
      </c>
      <c r="I13" s="40" t="s">
        <v>81</v>
      </c>
      <c r="J13" s="41" t="s">
        <v>82</v>
      </c>
      <c r="K13" s="40">
        <v>-81</v>
      </c>
      <c r="L13" s="40" t="s">
        <v>83</v>
      </c>
      <c r="M13" s="41" t="s">
        <v>60</v>
      </c>
      <c r="N13" s="41" t="s">
        <v>61</v>
      </c>
      <c r="O13" s="42" t="s">
        <v>73</v>
      </c>
      <c r="P13" s="43" t="s">
        <v>74</v>
      </c>
    </row>
    <row r="14" spans="1:16" ht="12.75" customHeight="1" thickBot="1">
      <c r="A14" s="10" t="str">
        <f t="shared" si="0"/>
        <v>IBVS 4105 </v>
      </c>
      <c r="B14" s="3" t="str">
        <f t="shared" si="1"/>
        <v>I</v>
      </c>
      <c r="C14" s="10">
        <f t="shared" si="2"/>
        <v>48479.3323</v>
      </c>
      <c r="D14" s="12" t="str">
        <f t="shared" si="3"/>
        <v>vis</v>
      </c>
      <c r="E14" s="39">
        <f>VLOOKUP(C14,A!C$21:E$973,3,FALSE)</f>
        <v>8.00573802230048</v>
      </c>
      <c r="F14" s="3" t="s">
        <v>49</v>
      </c>
      <c r="G14" s="12" t="str">
        <f t="shared" si="4"/>
        <v>48479.3323</v>
      </c>
      <c r="H14" s="10">
        <f t="shared" si="5"/>
        <v>-80</v>
      </c>
      <c r="I14" s="40" t="s">
        <v>84</v>
      </c>
      <c r="J14" s="41" t="s">
        <v>85</v>
      </c>
      <c r="K14" s="40">
        <v>-80</v>
      </c>
      <c r="L14" s="40" t="s">
        <v>86</v>
      </c>
      <c r="M14" s="41" t="s">
        <v>60</v>
      </c>
      <c r="N14" s="41" t="s">
        <v>61</v>
      </c>
      <c r="O14" s="42" t="s">
        <v>73</v>
      </c>
      <c r="P14" s="43" t="s">
        <v>74</v>
      </c>
    </row>
    <row r="15" spans="1:16" ht="12.75" customHeight="1" thickBot="1">
      <c r="A15" s="10" t="str">
        <f t="shared" si="0"/>
        <v>IBVS 4105 </v>
      </c>
      <c r="B15" s="3" t="str">
        <f t="shared" si="1"/>
        <v>I</v>
      </c>
      <c r="C15" s="10">
        <f t="shared" si="2"/>
        <v>48835.3494</v>
      </c>
      <c r="D15" s="12" t="str">
        <f t="shared" si="3"/>
        <v>vis</v>
      </c>
      <c r="E15" s="39">
        <f>VLOOKUP(C15,A!C$21:E$973,3,FALSE)</f>
        <v>15.009708492618456</v>
      </c>
      <c r="F15" s="3" t="s">
        <v>49</v>
      </c>
      <c r="G15" s="12" t="str">
        <f t="shared" si="4"/>
        <v>48835.3494</v>
      </c>
      <c r="H15" s="10">
        <f t="shared" si="5"/>
        <v>-73</v>
      </c>
      <c r="I15" s="40" t="s">
        <v>87</v>
      </c>
      <c r="J15" s="41" t="s">
        <v>88</v>
      </c>
      <c r="K15" s="40">
        <v>-73</v>
      </c>
      <c r="L15" s="40" t="s">
        <v>89</v>
      </c>
      <c r="M15" s="41" t="s">
        <v>60</v>
      </c>
      <c r="N15" s="41" t="s">
        <v>61</v>
      </c>
      <c r="O15" s="42" t="s">
        <v>73</v>
      </c>
      <c r="P15" s="43" t="s">
        <v>74</v>
      </c>
    </row>
    <row r="16" spans="1:16" ht="12.75" customHeight="1" thickBot="1">
      <c r="A16" s="10" t="str">
        <f t="shared" si="0"/>
        <v>IBVS 4105 </v>
      </c>
      <c r="B16" s="3" t="str">
        <f t="shared" si="1"/>
        <v>I</v>
      </c>
      <c r="C16" s="10">
        <f t="shared" si="2"/>
        <v>48886.171</v>
      </c>
      <c r="D16" s="12" t="str">
        <f t="shared" si="3"/>
        <v>vis</v>
      </c>
      <c r="E16" s="39">
        <f>VLOOKUP(C16,A!C$21:E$973,3,FALSE)</f>
        <v>16.009528404792157</v>
      </c>
      <c r="F16" s="3" t="s">
        <v>49</v>
      </c>
      <c r="G16" s="12" t="str">
        <f t="shared" si="4"/>
        <v>48886.1710</v>
      </c>
      <c r="H16" s="10">
        <f t="shared" si="5"/>
        <v>-72</v>
      </c>
      <c r="I16" s="40" t="s">
        <v>90</v>
      </c>
      <c r="J16" s="41" t="s">
        <v>91</v>
      </c>
      <c r="K16" s="40">
        <v>-72</v>
      </c>
      <c r="L16" s="40" t="s">
        <v>92</v>
      </c>
      <c r="M16" s="41" t="s">
        <v>60</v>
      </c>
      <c r="N16" s="41" t="s">
        <v>61</v>
      </c>
      <c r="O16" s="42" t="s">
        <v>73</v>
      </c>
      <c r="P16" s="43" t="s">
        <v>74</v>
      </c>
    </row>
    <row r="17" spans="1:16" ht="12.75" customHeight="1" thickBot="1">
      <c r="A17" s="10" t="str">
        <f t="shared" si="0"/>
        <v>IBVS 4105 </v>
      </c>
      <c r="B17" s="3" t="str">
        <f t="shared" si="1"/>
        <v>I</v>
      </c>
      <c r="C17" s="10">
        <f t="shared" si="2"/>
        <v>49190.3641</v>
      </c>
      <c r="D17" s="12" t="str">
        <f t="shared" si="3"/>
        <v>vis</v>
      </c>
      <c r="E17" s="39">
        <f>VLOOKUP(C17,A!C$21:E$973,3,FALSE)</f>
        <v>21.993958618044488</v>
      </c>
      <c r="F17" s="3" t="s">
        <v>49</v>
      </c>
      <c r="G17" s="12" t="str">
        <f t="shared" si="4"/>
        <v>49190.3641</v>
      </c>
      <c r="H17" s="10">
        <f t="shared" si="5"/>
        <v>-66</v>
      </c>
      <c r="I17" s="40" t="s">
        <v>93</v>
      </c>
      <c r="J17" s="41" t="s">
        <v>94</v>
      </c>
      <c r="K17" s="40">
        <v>-66</v>
      </c>
      <c r="L17" s="40" t="s">
        <v>95</v>
      </c>
      <c r="M17" s="41" t="s">
        <v>60</v>
      </c>
      <c r="N17" s="41" t="s">
        <v>61</v>
      </c>
      <c r="O17" s="42" t="s">
        <v>73</v>
      </c>
      <c r="P17" s="43" t="s">
        <v>74</v>
      </c>
    </row>
    <row r="18" spans="1:16" ht="12.75" customHeight="1" thickBot="1">
      <c r="A18" s="10" t="str">
        <f t="shared" si="0"/>
        <v> VSS 1.309 </v>
      </c>
      <c r="B18" s="3" t="str">
        <f t="shared" si="1"/>
        <v>I</v>
      </c>
      <c r="C18" s="10">
        <f t="shared" si="2"/>
        <v>29112.56</v>
      </c>
      <c r="D18" s="12" t="str">
        <f t="shared" si="3"/>
        <v>vis</v>
      </c>
      <c r="E18" s="39">
        <f>VLOOKUP(C18,A!C$21:E$973,3,FALSE)</f>
        <v>-372.9992791371932</v>
      </c>
      <c r="F18" s="3" t="s">
        <v>49</v>
      </c>
      <c r="G18" s="12" t="str">
        <f t="shared" si="4"/>
        <v>29112.56</v>
      </c>
      <c r="H18" s="10">
        <f t="shared" si="5"/>
        <v>-461</v>
      </c>
      <c r="I18" s="40" t="s">
        <v>52</v>
      </c>
      <c r="J18" s="41" t="s">
        <v>53</v>
      </c>
      <c r="K18" s="40">
        <v>-461</v>
      </c>
      <c r="L18" s="40" t="s">
        <v>54</v>
      </c>
      <c r="M18" s="41" t="s">
        <v>51</v>
      </c>
      <c r="N18" s="41"/>
      <c r="O18" s="42" t="s">
        <v>55</v>
      </c>
      <c r="P18" s="42" t="s">
        <v>56</v>
      </c>
    </row>
    <row r="19" spans="1:16" ht="12.75" customHeight="1" thickBot="1">
      <c r="A19" s="10" t="str">
        <f t="shared" si="0"/>
        <v>IBVS 3182 </v>
      </c>
      <c r="B19" s="3" t="str">
        <f t="shared" si="1"/>
        <v>I</v>
      </c>
      <c r="C19" s="10">
        <f t="shared" si="2"/>
        <v>39685.434</v>
      </c>
      <c r="D19" s="12" t="str">
        <f t="shared" si="3"/>
        <v>vis</v>
      </c>
      <c r="E19" s="39">
        <f>VLOOKUP(C19,A!C$21:E$973,3,FALSE)</f>
        <v>-164.99776100114508</v>
      </c>
      <c r="F19" s="3" t="s">
        <v>49</v>
      </c>
      <c r="G19" s="12" t="str">
        <f t="shared" si="4"/>
        <v>39685.434</v>
      </c>
      <c r="H19" s="10">
        <f t="shared" si="5"/>
        <v>-253</v>
      </c>
      <c r="I19" s="40" t="s">
        <v>57</v>
      </c>
      <c r="J19" s="41" t="s">
        <v>58</v>
      </c>
      <c r="K19" s="40">
        <v>-253</v>
      </c>
      <c r="L19" s="40" t="s">
        <v>59</v>
      </c>
      <c r="M19" s="41" t="s">
        <v>60</v>
      </c>
      <c r="N19" s="41" t="s">
        <v>61</v>
      </c>
      <c r="O19" s="42" t="s">
        <v>62</v>
      </c>
      <c r="P19" s="43" t="s">
        <v>63</v>
      </c>
    </row>
    <row r="20" spans="1:16" ht="12.75" customHeight="1" thickBot="1">
      <c r="A20" s="10" t="str">
        <f t="shared" si="0"/>
        <v>IBVS 3182 </v>
      </c>
      <c r="B20" s="3" t="str">
        <f t="shared" si="1"/>
        <v>I</v>
      </c>
      <c r="C20" s="10">
        <f t="shared" si="2"/>
        <v>42278.28</v>
      </c>
      <c r="D20" s="12" t="str">
        <f t="shared" si="3"/>
        <v>vis</v>
      </c>
      <c r="E20" s="39">
        <f>VLOOKUP(C20,A!C$21:E$973,3,FALSE)</f>
        <v>-113.98836617690151</v>
      </c>
      <c r="F20" s="3" t="s">
        <v>49</v>
      </c>
      <c r="G20" s="12" t="str">
        <f t="shared" si="4"/>
        <v>42278.280</v>
      </c>
      <c r="H20" s="10">
        <f t="shared" si="5"/>
        <v>-202</v>
      </c>
      <c r="I20" s="40" t="s">
        <v>64</v>
      </c>
      <c r="J20" s="41" t="s">
        <v>65</v>
      </c>
      <c r="K20" s="40">
        <v>-202</v>
      </c>
      <c r="L20" s="40" t="s">
        <v>66</v>
      </c>
      <c r="M20" s="41" t="s">
        <v>60</v>
      </c>
      <c r="N20" s="41" t="s">
        <v>61</v>
      </c>
      <c r="O20" s="42" t="s">
        <v>62</v>
      </c>
      <c r="P20" s="43" t="s">
        <v>63</v>
      </c>
    </row>
    <row r="21" spans="1:16" ht="12.75" customHeight="1" thickBot="1">
      <c r="A21" s="10" t="str">
        <f t="shared" si="0"/>
        <v>IBVS 3182 </v>
      </c>
      <c r="B21" s="3" t="str">
        <f t="shared" si="1"/>
        <v>I</v>
      </c>
      <c r="C21" s="10">
        <f t="shared" si="2"/>
        <v>45226.419</v>
      </c>
      <c r="D21" s="12" t="str">
        <f t="shared" si="3"/>
        <v>vis</v>
      </c>
      <c r="E21" s="39">
        <f>VLOOKUP(C21,A!C$21:E$973,3,FALSE)</f>
        <v>-55.98924619532494</v>
      </c>
      <c r="F21" s="3" t="s">
        <v>49</v>
      </c>
      <c r="G21" s="12" t="str">
        <f t="shared" si="4"/>
        <v>45226.419</v>
      </c>
      <c r="H21" s="10">
        <f t="shared" si="5"/>
        <v>-144</v>
      </c>
      <c r="I21" s="40" t="s">
        <v>67</v>
      </c>
      <c r="J21" s="41" t="s">
        <v>68</v>
      </c>
      <c r="K21" s="40">
        <v>-144</v>
      </c>
      <c r="L21" s="40" t="s">
        <v>69</v>
      </c>
      <c r="M21" s="41" t="s">
        <v>60</v>
      </c>
      <c r="N21" s="41" t="s">
        <v>61</v>
      </c>
      <c r="O21" s="42" t="s">
        <v>62</v>
      </c>
      <c r="P21" s="43" t="s">
        <v>63</v>
      </c>
    </row>
    <row r="22" spans="1:16" ht="12.75" customHeight="1" thickBot="1">
      <c r="A22" s="10" t="str">
        <f t="shared" si="0"/>
        <v>IBVS 4105 </v>
      </c>
      <c r="B22" s="3" t="str">
        <f t="shared" si="1"/>
        <v>I</v>
      </c>
      <c r="C22" s="10">
        <f t="shared" si="2"/>
        <v>48174.1931</v>
      </c>
      <c r="D22" s="12" t="str">
        <f t="shared" si="3"/>
        <v>vis</v>
      </c>
      <c r="E22" s="39">
        <f>VLOOKUP(C22,A!C$21:E$973,3,FALSE)</f>
        <v>2.0026950613401713</v>
      </c>
      <c r="F22" s="3" t="s">
        <v>49</v>
      </c>
      <c r="G22" s="12" t="str">
        <f t="shared" si="4"/>
        <v>48174.1931</v>
      </c>
      <c r="H22" s="10">
        <f t="shared" si="5"/>
        <v>-86</v>
      </c>
      <c r="I22" s="40" t="s">
        <v>78</v>
      </c>
      <c r="J22" s="41" t="s">
        <v>79</v>
      </c>
      <c r="K22" s="40">
        <v>-86</v>
      </c>
      <c r="L22" s="40" t="s">
        <v>80</v>
      </c>
      <c r="M22" s="41" t="s">
        <v>60</v>
      </c>
      <c r="N22" s="41" t="s">
        <v>61</v>
      </c>
      <c r="O22" s="42" t="s">
        <v>73</v>
      </c>
      <c r="P22" s="43" t="s">
        <v>74</v>
      </c>
    </row>
    <row r="23" spans="1:16" ht="12.75" customHeight="1" thickBot="1">
      <c r="A23" s="10" t="str">
        <f t="shared" si="0"/>
        <v>IBVS 4105 </v>
      </c>
      <c r="B23" s="3" t="str">
        <f t="shared" si="1"/>
        <v>I</v>
      </c>
      <c r="C23" s="10">
        <f t="shared" si="2"/>
        <v>49191.3547</v>
      </c>
      <c r="D23" s="12" t="str">
        <f t="shared" si="3"/>
        <v>vis</v>
      </c>
      <c r="E23" s="39">
        <f>VLOOKUP(C23,A!C$21:E$973,3,FALSE)</f>
        <v>22.013446820009868</v>
      </c>
      <c r="F23" s="3" t="s">
        <v>49</v>
      </c>
      <c r="G23" s="12" t="str">
        <f t="shared" si="4"/>
        <v>49191.3547</v>
      </c>
      <c r="H23" s="10">
        <f t="shared" si="5"/>
        <v>-66</v>
      </c>
      <c r="I23" s="40" t="s">
        <v>96</v>
      </c>
      <c r="J23" s="41" t="s">
        <v>97</v>
      </c>
      <c r="K23" s="40">
        <v>-66</v>
      </c>
      <c r="L23" s="40" t="s">
        <v>98</v>
      </c>
      <c r="M23" s="41" t="s">
        <v>60</v>
      </c>
      <c r="N23" s="41" t="s">
        <v>61</v>
      </c>
      <c r="O23" s="42" t="s">
        <v>73</v>
      </c>
      <c r="P23" s="43" t="s">
        <v>74</v>
      </c>
    </row>
    <row r="24" spans="1:16" ht="12.75" customHeight="1" thickBot="1">
      <c r="A24" s="10" t="str">
        <f t="shared" si="0"/>
        <v>IBVS 4105 </v>
      </c>
      <c r="B24" s="3" t="str">
        <f t="shared" si="1"/>
        <v>I</v>
      </c>
      <c r="C24" s="10">
        <f t="shared" si="2"/>
        <v>49241.2487</v>
      </c>
      <c r="D24" s="12" t="str">
        <f t="shared" si="3"/>
        <v>vis</v>
      </c>
      <c r="E24" s="39">
        <f>VLOOKUP(C24,A!C$21:E$973,3,FALSE)</f>
        <v>22.995017937369113</v>
      </c>
      <c r="F24" s="3" t="s">
        <v>49</v>
      </c>
      <c r="G24" s="12" t="str">
        <f t="shared" si="4"/>
        <v>49241.2487</v>
      </c>
      <c r="H24" s="10">
        <f t="shared" si="5"/>
        <v>-65</v>
      </c>
      <c r="I24" s="40" t="s">
        <v>99</v>
      </c>
      <c r="J24" s="41" t="s">
        <v>100</v>
      </c>
      <c r="K24" s="40">
        <v>-65</v>
      </c>
      <c r="L24" s="40" t="s">
        <v>101</v>
      </c>
      <c r="M24" s="41" t="s">
        <v>60</v>
      </c>
      <c r="N24" s="41" t="s">
        <v>61</v>
      </c>
      <c r="O24" s="42" t="s">
        <v>73</v>
      </c>
      <c r="P24" s="43" t="s">
        <v>74</v>
      </c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</sheetData>
  <sheetProtection/>
  <hyperlinks>
    <hyperlink ref="P19" r:id="rId1" display="http://www.konkoly.hu/cgi-bin/IBVS?3182"/>
    <hyperlink ref="P20" r:id="rId2" display="http://www.konkoly.hu/cgi-bin/IBVS?3182"/>
    <hyperlink ref="P21" r:id="rId3" display="http://www.konkoly.hu/cgi-bin/IBVS?3182"/>
    <hyperlink ref="P11" r:id="rId4" display="http://www.konkoly.hu/cgi-bin/IBVS?4105"/>
    <hyperlink ref="P12" r:id="rId5" display="http://www.konkoly.hu/cgi-bin/IBVS?4105"/>
    <hyperlink ref="P22" r:id="rId6" display="http://www.konkoly.hu/cgi-bin/IBVS?4105"/>
    <hyperlink ref="P13" r:id="rId7" display="http://www.konkoly.hu/cgi-bin/IBVS?4105"/>
    <hyperlink ref="P14" r:id="rId8" display="http://www.konkoly.hu/cgi-bin/IBVS?4105"/>
    <hyperlink ref="P15" r:id="rId9" display="http://www.konkoly.hu/cgi-bin/IBVS?4105"/>
    <hyperlink ref="P16" r:id="rId10" display="http://www.konkoly.hu/cgi-bin/IBVS?4105"/>
    <hyperlink ref="P17" r:id="rId11" display="http://www.konkoly.hu/cgi-bin/IBVS?4105"/>
    <hyperlink ref="P23" r:id="rId12" display="http://www.konkoly.hu/cgi-bin/IBVS?4105"/>
    <hyperlink ref="P24" r:id="rId13" display="http://www.konkoly.hu/cgi-bin/IBVS?410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