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32760" windowWidth="8820" windowHeight="133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<sst xmlns="http://schemas.openxmlformats.org/spreadsheetml/2006/main" count="189" uniqueCount="109">
  <si>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</si>
  <si>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</si>
  <si>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</si>
  <si>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</si>
  <si>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</si>
  <si>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</si>
  <si>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</si>
  <si>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</si>
  <si>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</si>
  <si>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</si>
  <si>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</si>
  <si>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</si>
  <si>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</si>
  <si>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</si>
  <si>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</si>
  <si>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</si>
  <si>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</si>
  <si>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</si>
  <si>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</si>
  <si>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</si>
  <si>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</si>
  <si>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</si>
  <si>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</si>
  <si>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</si>
  <si>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</si>
  <si>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</si>
  <si>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</si>
  <si>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</si>
  <si>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</si>
  <si>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Vandenbroere J</t>
  </si>
  <si>
    <t>BBSAG Bull.98</t>
  </si>
  <si>
    <t>B</t>
  </si>
  <si>
    <t>V620 Cyg / GSC 2716-2777</t>
  </si>
  <si>
    <t>EA/SD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</si>
  <si>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</si>
  <si>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</si>
  <si>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</si>
  <si>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</si>
  <si>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</si>
  <si>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</si>
  <si>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</si>
  <si>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</si>
  <si>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</si>
  <si>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</si>
  <si>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</si>
  <si>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2415290.36 </t>
  </si>
  <si>
    <t> 27.09.1900 20:38 </t>
  </si>
  <si>
    <t> 0.09 </t>
  </si>
  <si>
    <t>P </t>
  </si>
  <si>
    <t> W.Zessewitsch </t>
  </si>
  <si>
    <t> AC 194.28 </t>
  </si>
  <si>
    <t>2418267.17 </t>
  </si>
  <si>
    <t> 21.11.1908 16:04 </t>
  </si>
  <si>
    <t> -0.05 </t>
  </si>
  <si>
    <t>2429285.18 </t>
  </si>
  <si>
    <t> 21.01.1939 16:19 </t>
  </si>
  <si>
    <t> 0.10 </t>
  </si>
  <si>
    <t>2436091.29 </t>
  </si>
  <si>
    <t> 09.09.1957 18:57 </t>
  </si>
  <si>
    <t> -0.04 </t>
  </si>
  <si>
    <t>V </t>
  </si>
  <si>
    <t>2436110.21 </t>
  </si>
  <si>
    <t> 28.09.1957 17:02 </t>
  </si>
  <si>
    <t> 0.08 </t>
  </si>
  <si>
    <t>2436141.42 </t>
  </si>
  <si>
    <t> 29.10.1957 22:04 </t>
  </si>
  <si>
    <t>2436354.42 </t>
  </si>
  <si>
    <t> 30.05.1958 22:04 </t>
  </si>
  <si>
    <t> -0.14 </t>
  </si>
  <si>
    <t>2436373.38 </t>
  </si>
  <si>
    <t> 18.06.1958 21:07 </t>
  </si>
  <si>
    <t> 0.02 </t>
  </si>
  <si>
    <t>2448475.530 </t>
  </si>
  <si>
    <t> 07.08.1991 00:43 </t>
  </si>
  <si>
    <t> 0.076 </t>
  </si>
  <si>
    <t> J.Vandenbroere </t>
  </si>
  <si>
    <t> BBS 98 </t>
  </si>
  <si>
    <t>2451051.425 </t>
  </si>
  <si>
    <t> 25.08.1998 22:12 </t>
  </si>
  <si>
    <t> 0.124 </t>
  </si>
  <si>
    <t> J.Verrot </t>
  </si>
  <si>
    <t> BBS 119 </t>
  </si>
  <si>
    <t>2451076.404 </t>
  </si>
  <si>
    <t> 19.09.1998 21:41 </t>
  </si>
  <si>
    <t> 0.034 </t>
  </si>
  <si>
    <t>2451665.5327 </t>
  </si>
  <si>
    <t> 01.05.2000 00:47 </t>
  </si>
  <si>
    <t> 0.0392 </t>
  </si>
  <si>
    <t>E </t>
  </si>
  <si>
    <t>?</t>
  </si>
  <si>
    <t> K.Koss </t>
  </si>
  <si>
    <t> BRNO 32 </t>
  </si>
  <si>
    <t>2454360.5110 </t>
  </si>
  <si>
    <t> 17.09.2007 00:15 </t>
  </si>
  <si>
    <t> 0.0923 </t>
  </si>
  <si>
    <t>C </t>
  </si>
  <si>
    <t>-I</t>
  </si>
  <si>
    <t> F.Agerer </t>
  </si>
  <si>
    <t>BAVM 193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</si>
  <si>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</si>
  <si>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</si>
  <si>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</si>
  <si>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</si>
  <si>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</si>
  <si>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</si>
  <si>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</si>
  <si>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</si>
  <si>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</si>
  <si>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# of data points: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</si>
</sst>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1" fillId="33" borderId="18" xfId="54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V620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0.009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8541852"/>
        <c:axId val="55550077"/>
      </c:scatterChart>
      <c:valAx>
        <c:axId val="285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0077"/>
        <c:crosses val="autoZero"/>
        <c:crossBetween val="midCat"/>
        <c:dispUnits/>
      </c:valAx>
      <c:valAx>
        <c:axId val="5555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2925"/>
          <c:w val="0.88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101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8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25</v>
      </c>
      <c r="B2" s="11" t="s">
        <v>33</v>
      </c>
    </row>
    <row r="4" spans="1:4" ht="12.75">
      <c r="A4" s="8" t="s">
        <v>0</v>
      </c>
      <c r="C4" s="3">
        <v>15290.27</v>
      </c>
      <c r="D4" s="4">
        <v>6.267268</v>
      </c>
    </row>
    <row r="5" spans="1:4" ht="12.75">
      <c r="A5" s="32" t="s">
        <v>100</v>
      </c>
      <c r="B5" s="15"/>
      <c r="C5" s="33">
        <v>-9.5</v>
      </c>
      <c r="D5" s="15" t="s">
        <v>101</v>
      </c>
    </row>
    <row r="6" ht="12.75">
      <c r="A6" s="8" t="s">
        <v>1</v>
      </c>
    </row>
    <row r="7" spans="1:3" ht="12.75">
      <c r="A7" t="s">
        <v>2</v>
      </c>
      <c r="C7">
        <f>+C4</f>
        <v>15290.27</v>
      </c>
    </row>
    <row r="8" spans="1:3" ht="12.75">
      <c r="A8" t="s">
        <v>3</v>
      </c>
      <c r="C8">
        <f>+D4</f>
        <v>6.267268</v>
      </c>
    </row>
    <row r="9" spans="1:4" ht="12.75">
      <c r="A9" s="34" t="s">
        <v>102</v>
      </c>
      <c r="B9" s="35">
        <v>21</v>
      </c>
      <c r="C9" s="36" t="str">
        <f>"F"&amp;B9</f>
        <v>F21</v>
      </c>
      <c r="D9" s="37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8">
        <f ca="1">INTERCEPT(INDIRECT($D$9):G978,INDIRECT($C$9):F978)</f>
        <v>-0.0065633054424678</v>
      </c>
      <c r="D11" s="6"/>
    </row>
    <row r="12" spans="1:4" ht="12.75">
      <c r="A12" t="s">
        <v>17</v>
      </c>
      <c r="C12" s="38">
        <f ca="1">SLOPE(INDIRECT($D$9):G978,INDIRECT($C$9):F978)</f>
        <v>9.561501063014123E-06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2">
        <f>(C7+C11)+(C8+C12)*INT(MAX(F21:F3533))</f>
        <v>54360.47175509218</v>
      </c>
      <c r="E15" s="39" t="s">
        <v>103</v>
      </c>
      <c r="F15" s="33">
        <v>1</v>
      </c>
    </row>
    <row r="16" spans="1:6" ht="12.75">
      <c r="A16" s="8" t="s">
        <v>4</v>
      </c>
      <c r="C16" s="13">
        <f>+C8+C12</f>
        <v>6.2672775615010625</v>
      </c>
      <c r="E16" s="39" t="s">
        <v>104</v>
      </c>
      <c r="F16" s="40">
        <f ca="1">NOW()+15018.5+$C$5/24</f>
        <v>59896.79761122685</v>
      </c>
    </row>
    <row r="17" spans="1:6" ht="13.5" thickBot="1">
      <c r="A17" s="39" t="s">
        <v>108</v>
      </c>
      <c r="B17" s="15"/>
      <c r="C17" s="15">
        <f>COUNT(C21:C2177)</f>
        <v>14</v>
      </c>
      <c r="E17" s="39" t="s">
        <v>105</v>
      </c>
      <c r="F17" s="40">
        <f>ROUND(2*(F16-$C$7)/$C$8,0)/2+F15</f>
        <v>7118.5</v>
      </c>
    </row>
    <row r="18" spans="1:6" ht="12.75">
      <c r="A18" s="8" t="s">
        <v>5</v>
      </c>
      <c r="C18" s="3">
        <f>+C15</f>
        <v>54360.47175509218</v>
      </c>
      <c r="D18" s="4">
        <f>+C16</f>
        <v>6.2672775615010625</v>
      </c>
      <c r="E18" s="39" t="s">
        <v>106</v>
      </c>
      <c r="F18" s="37">
        <f>ROUND(2*(F16-$C$15)/$C$16,0)/2+F15</f>
        <v>884.5</v>
      </c>
    </row>
    <row r="19" spans="5:6" ht="13.5" thickTop="1">
      <c r="E19" s="39" t="s">
        <v>107</v>
      </c>
      <c r="F19" s="41">
        <f>+$C$15+$C$16*F18-15018.5-$C$5/24</f>
        <v>44885.7745915732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41</v>
      </c>
      <c r="I20" s="10" t="s">
        <v>44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6">
        <v>15290.27</v>
      </c>
      <c r="D21" s="16" t="s">
        <v>14</v>
      </c>
      <c r="E21">
        <f aca="true" t="shared" si="0" ref="E21:E34">+(C21-C$7)/C$8</f>
        <v>0</v>
      </c>
      <c r="F21">
        <f aca="true" t="shared" si="1" ref="F21:F34">ROUND(2*E21,0)/2</f>
        <v>0</v>
      </c>
      <c r="G21">
        <f aca="true" t="shared" si="2" ref="G21:G34">+C21-(C$7+F21*C$8)</f>
        <v>0</v>
      </c>
      <c r="H21">
        <f>+G21</f>
        <v>0</v>
      </c>
      <c r="O21">
        <f aca="true" t="shared" si="3" ref="O21:O34">+C$11+C$12*F21</f>
        <v>-0.0065633054424678</v>
      </c>
      <c r="Q21" s="2">
        <f aca="true" t="shared" si="4" ref="Q21:Q34">+C21-15018.5</f>
        <v>271.77000000000044</v>
      </c>
    </row>
    <row r="22" spans="1:17" ht="12.75">
      <c r="A22" s="30" t="s">
        <v>50</v>
      </c>
      <c r="B22" s="29" t="s">
        <v>99</v>
      </c>
      <c r="C22" s="31">
        <v>15290.36</v>
      </c>
      <c r="D22" s="30" t="s">
        <v>44</v>
      </c>
      <c r="E22">
        <f t="shared" si="0"/>
        <v>0.014360324147642246</v>
      </c>
      <c r="F22">
        <f t="shared" si="1"/>
        <v>0</v>
      </c>
      <c r="G22">
        <f t="shared" si="2"/>
        <v>0.09000000000014552</v>
      </c>
      <c r="I22">
        <f aca="true" t="shared" si="5" ref="I22:I32">+G22</f>
        <v>0.09000000000014552</v>
      </c>
      <c r="O22">
        <f t="shared" si="3"/>
        <v>-0.0065633054424678</v>
      </c>
      <c r="Q22" s="2">
        <f t="shared" si="4"/>
        <v>271.8600000000006</v>
      </c>
    </row>
    <row r="23" spans="1:17" ht="12.75">
      <c r="A23" s="30" t="s">
        <v>50</v>
      </c>
      <c r="B23" s="29" t="s">
        <v>99</v>
      </c>
      <c r="C23" s="31">
        <v>18267.17</v>
      </c>
      <c r="D23" s="30" t="s">
        <v>44</v>
      </c>
      <c r="E23">
        <f t="shared" si="0"/>
        <v>474.99165505607834</v>
      </c>
      <c r="F23">
        <f t="shared" si="1"/>
        <v>475</v>
      </c>
      <c r="G23">
        <f t="shared" si="2"/>
        <v>-0.05230000000301516</v>
      </c>
      <c r="I23">
        <f t="shared" si="5"/>
        <v>-0.05230000000301516</v>
      </c>
      <c r="O23">
        <f t="shared" si="3"/>
        <v>-0.0020215924375360924</v>
      </c>
      <c r="Q23" s="2">
        <f t="shared" si="4"/>
        <v>3248.6699999999983</v>
      </c>
    </row>
    <row r="24" spans="1:17" ht="12.75">
      <c r="A24" s="30" t="s">
        <v>50</v>
      </c>
      <c r="B24" s="29" t="s">
        <v>99</v>
      </c>
      <c r="C24" s="31">
        <v>29285.18</v>
      </c>
      <c r="D24" s="30" t="s">
        <v>44</v>
      </c>
      <c r="E24">
        <f t="shared" si="0"/>
        <v>2233.0160446306113</v>
      </c>
      <c r="F24">
        <f t="shared" si="1"/>
        <v>2233</v>
      </c>
      <c r="G24">
        <f t="shared" si="2"/>
        <v>0.10055600000123377</v>
      </c>
      <c r="I24">
        <f t="shared" si="5"/>
        <v>0.10055600000123377</v>
      </c>
      <c r="O24">
        <f t="shared" si="3"/>
        <v>0.014787526431242735</v>
      </c>
      <c r="Q24" s="2">
        <f t="shared" si="4"/>
        <v>14266.68</v>
      </c>
    </row>
    <row r="25" spans="1:17" ht="12.75">
      <c r="A25" s="30" t="s">
        <v>50</v>
      </c>
      <c r="B25" s="29" t="s">
        <v>99</v>
      </c>
      <c r="C25" s="30">
        <v>36091.29</v>
      </c>
      <c r="D25" s="30" t="s">
        <v>44</v>
      </c>
      <c r="E25">
        <f t="shared" si="0"/>
        <v>3318.9932200122926</v>
      </c>
      <c r="F25">
        <f t="shared" si="1"/>
        <v>3319</v>
      </c>
      <c r="G25">
        <f t="shared" si="2"/>
        <v>-0.042492000000493135</v>
      </c>
      <c r="I25">
        <f t="shared" si="5"/>
        <v>-0.042492000000493135</v>
      </c>
      <c r="O25">
        <f t="shared" si="3"/>
        <v>0.025171316585676073</v>
      </c>
      <c r="Q25" s="2">
        <f t="shared" si="4"/>
        <v>21072.79</v>
      </c>
    </row>
    <row r="26" spans="1:17" ht="12.75">
      <c r="A26" s="30" t="s">
        <v>50</v>
      </c>
      <c r="B26" s="29" t="s">
        <v>99</v>
      </c>
      <c r="C26" s="30">
        <v>36110.21</v>
      </c>
      <c r="D26" s="30" t="s">
        <v>44</v>
      </c>
      <c r="E26">
        <f t="shared" si="0"/>
        <v>3322.0120792664366</v>
      </c>
      <c r="F26">
        <f t="shared" si="1"/>
        <v>3322</v>
      </c>
      <c r="G26">
        <f t="shared" si="2"/>
        <v>0.07570399999531219</v>
      </c>
      <c r="I26">
        <f t="shared" si="5"/>
        <v>0.07570399999531219</v>
      </c>
      <c r="O26">
        <f t="shared" si="3"/>
        <v>0.025200001088865113</v>
      </c>
      <c r="Q26" s="2">
        <f t="shared" si="4"/>
        <v>21091.71</v>
      </c>
    </row>
    <row r="27" spans="1:17" ht="12.75">
      <c r="A27" s="30" t="s">
        <v>50</v>
      </c>
      <c r="B27" s="29" t="s">
        <v>99</v>
      </c>
      <c r="C27" s="30">
        <v>36141.42</v>
      </c>
      <c r="D27" s="30" t="s">
        <v>44</v>
      </c>
      <c r="E27">
        <f t="shared" si="0"/>
        <v>3326.991920562516</v>
      </c>
      <c r="F27">
        <f t="shared" si="1"/>
        <v>3327</v>
      </c>
      <c r="G27">
        <f t="shared" si="2"/>
        <v>-0.050635999999940395</v>
      </c>
      <c r="I27">
        <f t="shared" si="5"/>
        <v>-0.050635999999940395</v>
      </c>
      <c r="O27">
        <f t="shared" si="3"/>
        <v>0.025247808594180184</v>
      </c>
      <c r="Q27" s="2">
        <f t="shared" si="4"/>
        <v>21122.92</v>
      </c>
    </row>
    <row r="28" spans="1:17" ht="12.75">
      <c r="A28" s="30" t="s">
        <v>50</v>
      </c>
      <c r="B28" s="29" t="s">
        <v>99</v>
      </c>
      <c r="C28" s="30">
        <v>36354.42</v>
      </c>
      <c r="D28" s="30" t="s">
        <v>44</v>
      </c>
      <c r="E28">
        <f t="shared" si="0"/>
        <v>3360.9780210452145</v>
      </c>
      <c r="F28">
        <f t="shared" si="1"/>
        <v>3361</v>
      </c>
      <c r="G28">
        <f t="shared" si="2"/>
        <v>-0.13774800000101095</v>
      </c>
      <c r="I28">
        <f t="shared" si="5"/>
        <v>-0.13774800000101095</v>
      </c>
      <c r="O28">
        <f t="shared" si="3"/>
        <v>0.02557289963032267</v>
      </c>
      <c r="Q28" s="2">
        <f t="shared" si="4"/>
        <v>21335.92</v>
      </c>
    </row>
    <row r="29" spans="1:17" ht="12.75">
      <c r="A29" s="30" t="s">
        <v>50</v>
      </c>
      <c r="B29" s="29" t="s">
        <v>99</v>
      </c>
      <c r="C29" s="30">
        <v>36373.38</v>
      </c>
      <c r="D29" s="30" t="s">
        <v>44</v>
      </c>
      <c r="E29">
        <f t="shared" si="0"/>
        <v>3364.003262665646</v>
      </c>
      <c r="F29">
        <f t="shared" si="1"/>
        <v>3364</v>
      </c>
      <c r="G29">
        <f t="shared" si="2"/>
        <v>0.020448000002943445</v>
      </c>
      <c r="I29">
        <f t="shared" si="5"/>
        <v>0.020448000002943445</v>
      </c>
      <c r="O29">
        <f t="shared" si="3"/>
        <v>0.02560158413351171</v>
      </c>
      <c r="Q29" s="2">
        <f t="shared" si="4"/>
        <v>21354.879999999997</v>
      </c>
    </row>
    <row r="30" spans="1:31" ht="12.75">
      <c r="A30" t="s">
        <v>30</v>
      </c>
      <c r="C30" s="42">
        <v>48475.53</v>
      </c>
      <c r="D30" s="16">
        <v>0.009</v>
      </c>
      <c r="E30">
        <f t="shared" si="0"/>
        <v>5295.012116922397</v>
      </c>
      <c r="F30">
        <f t="shared" si="1"/>
        <v>5295</v>
      </c>
      <c r="G30">
        <f t="shared" si="2"/>
        <v>0.07593999999517109</v>
      </c>
      <c r="I30">
        <f t="shared" si="5"/>
        <v>0.07593999999517109</v>
      </c>
      <c r="O30">
        <f t="shared" si="3"/>
        <v>0.044064842686191985</v>
      </c>
      <c r="Q30" s="2">
        <f t="shared" si="4"/>
        <v>33457.03</v>
      </c>
      <c r="AA30">
        <v>14</v>
      </c>
      <c r="AC30" t="s">
        <v>29</v>
      </c>
      <c r="AE30" t="s">
        <v>31</v>
      </c>
    </row>
    <row r="31" spans="1:17" ht="12.75">
      <c r="A31" s="30" t="s">
        <v>81</v>
      </c>
      <c r="B31" s="29" t="s">
        <v>99</v>
      </c>
      <c r="C31" s="30">
        <v>51051.425</v>
      </c>
      <c r="D31" s="30" t="s">
        <v>44</v>
      </c>
      <c r="E31">
        <f t="shared" si="0"/>
        <v>5706.019752147187</v>
      </c>
      <c r="F31">
        <f t="shared" si="1"/>
        <v>5706</v>
      </c>
      <c r="G31">
        <f t="shared" si="2"/>
        <v>0.12379199999850243</v>
      </c>
      <c r="I31">
        <f t="shared" si="5"/>
        <v>0.12379199999850243</v>
      </c>
      <c r="O31">
        <f t="shared" si="3"/>
        <v>0.04799461962309079</v>
      </c>
      <c r="Q31" s="2">
        <f t="shared" si="4"/>
        <v>36032.925</v>
      </c>
    </row>
    <row r="32" spans="1:17" ht="12.75">
      <c r="A32" s="30" t="s">
        <v>81</v>
      </c>
      <c r="B32" s="29" t="s">
        <v>99</v>
      </c>
      <c r="C32" s="30">
        <v>51076.404</v>
      </c>
      <c r="D32" s="30" t="s">
        <v>44</v>
      </c>
      <c r="E32">
        <f t="shared" si="0"/>
        <v>5710.005380334782</v>
      </c>
      <c r="F32">
        <f t="shared" si="1"/>
        <v>5710</v>
      </c>
      <c r="G32">
        <f t="shared" si="2"/>
        <v>0.03371999999944819</v>
      </c>
      <c r="I32">
        <f t="shared" si="5"/>
        <v>0.03371999999944819</v>
      </c>
      <c r="O32">
        <f t="shared" si="3"/>
        <v>0.04803286562734284</v>
      </c>
      <c r="Q32" s="2">
        <f t="shared" si="4"/>
        <v>36057.904</v>
      </c>
    </row>
    <row r="33" spans="1:17" ht="12.75">
      <c r="A33" s="30" t="s">
        <v>91</v>
      </c>
      <c r="B33" s="29" t="s">
        <v>99</v>
      </c>
      <c r="C33" s="30">
        <v>51665.5327</v>
      </c>
      <c r="D33" s="30" t="s">
        <v>44</v>
      </c>
      <c r="E33">
        <f t="shared" si="0"/>
        <v>5804.00625918662</v>
      </c>
      <c r="F33">
        <f t="shared" si="1"/>
        <v>5804</v>
      </c>
      <c r="G33">
        <f t="shared" si="2"/>
        <v>0.039228000001457985</v>
      </c>
      <c r="K33">
        <f>+G33</f>
        <v>0.039228000001457985</v>
      </c>
      <c r="O33">
        <f t="shared" si="3"/>
        <v>0.04893164672726617</v>
      </c>
      <c r="Q33" s="2">
        <f t="shared" si="4"/>
        <v>36647.0327</v>
      </c>
    </row>
    <row r="34" spans="1:17" ht="12.75">
      <c r="A34" s="30" t="s">
        <v>98</v>
      </c>
      <c r="B34" s="29" t="s">
        <v>99</v>
      </c>
      <c r="C34" s="30">
        <v>54360.511</v>
      </c>
      <c r="D34" s="30" t="s">
        <v>44</v>
      </c>
      <c r="E34">
        <f t="shared" si="0"/>
        <v>6234.014725395499</v>
      </c>
      <c r="F34">
        <f t="shared" si="1"/>
        <v>6234</v>
      </c>
      <c r="G34">
        <f t="shared" si="2"/>
        <v>0.09228799999982584</v>
      </c>
      <c r="I34">
        <f>+G34</f>
        <v>0.09228799999982584</v>
      </c>
      <c r="O34">
        <f t="shared" si="3"/>
        <v>0.053043092184362234</v>
      </c>
      <c r="Q34" s="2">
        <f t="shared" si="4"/>
        <v>39342.011</v>
      </c>
    </row>
    <row r="35" spans="2:4" ht="12.75">
      <c r="B35" s="6"/>
      <c r="D35" s="6"/>
    </row>
    <row r="36" spans="2:4" ht="12.75">
      <c r="B36" s="6"/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12" sqref="A12:D23"/>
    </sheetView>
  </sheetViews>
  <sheetFormatPr defaultColWidth="9.140625" defaultRowHeight="12.75"/>
  <cols>
    <col min="1" max="1" width="19.7109375" style="16" customWidth="1"/>
    <col min="2" max="2" width="4.421875" style="15" customWidth="1"/>
    <col min="3" max="3" width="12.7109375" style="16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6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14" t="s">
        <v>34</v>
      </c>
      <c r="I1" s="17" t="s">
        <v>35</v>
      </c>
      <c r="J1" s="18" t="s">
        <v>36</v>
      </c>
    </row>
    <row r="2" spans="9:10" ht="12.75">
      <c r="I2" s="19" t="s">
        <v>37</v>
      </c>
      <c r="J2" s="20" t="s">
        <v>38</v>
      </c>
    </row>
    <row r="3" spans="1:10" ht="12.75">
      <c r="A3" s="21" t="s">
        <v>39</v>
      </c>
      <c r="I3" s="19" t="s">
        <v>40</v>
      </c>
      <c r="J3" s="20" t="s">
        <v>41</v>
      </c>
    </row>
    <row r="4" spans="9:10" ht="12.75">
      <c r="I4" s="19" t="s">
        <v>42</v>
      </c>
      <c r="J4" s="20" t="s">
        <v>41</v>
      </c>
    </row>
    <row r="5" spans="9:10" ht="13.5" thickBot="1">
      <c r="I5" s="22" t="s">
        <v>43</v>
      </c>
      <c r="J5" s="23" t="s">
        <v>44</v>
      </c>
    </row>
    <row r="10" ht="13.5" thickBot="1"/>
    <row r="11" spans="1:16" ht="12.75" customHeight="1" thickBot="1">
      <c r="A11" s="16" t="str">
        <f aca="true" t="shared" si="0" ref="A11:A23">P11</f>
        <v> BBS 98 </v>
      </c>
      <c r="B11" s="6" t="str">
        <f aca="true" t="shared" si="1" ref="B11:B23">IF(H11=INT(H11),"I","II")</f>
        <v>I</v>
      </c>
      <c r="C11" s="16">
        <f aca="true" t="shared" si="2" ref="C11:C23">1*G11</f>
        <v>48475.53</v>
      </c>
      <c r="D11" s="15" t="str">
        <f aca="true" t="shared" si="3" ref="D11:D23">VLOOKUP(F11,I$1:J$5,2,FALSE)</f>
        <v>vis</v>
      </c>
      <c r="E11" s="24">
        <f>VLOOKUP(C11,A!C$21:E$973,3,FALSE)</f>
        <v>5295.012116922397</v>
      </c>
      <c r="F11" s="6" t="s">
        <v>43</v>
      </c>
      <c r="G11" s="15" t="str">
        <f aca="true" t="shared" si="4" ref="G11:G23">MID(I11,3,LEN(I11)-3)</f>
        <v>48475.530</v>
      </c>
      <c r="H11" s="16">
        <f aca="true" t="shared" si="5" ref="H11:H23">1*K11</f>
        <v>5295</v>
      </c>
      <c r="I11" s="25" t="s">
        <v>72</v>
      </c>
      <c r="J11" s="26" t="s">
        <v>73</v>
      </c>
      <c r="K11" s="25">
        <v>5295</v>
      </c>
      <c r="L11" s="25" t="s">
        <v>74</v>
      </c>
      <c r="M11" s="26" t="s">
        <v>60</v>
      </c>
      <c r="N11" s="26"/>
      <c r="O11" s="27" t="s">
        <v>75</v>
      </c>
      <c r="P11" s="27" t="s">
        <v>76</v>
      </c>
    </row>
    <row r="12" spans="1:16" ht="12.75" customHeight="1" thickBot="1">
      <c r="A12" s="16" t="str">
        <f t="shared" si="0"/>
        <v> AC 194.28 </v>
      </c>
      <c r="B12" s="6" t="str">
        <f t="shared" si="1"/>
        <v>I</v>
      </c>
      <c r="C12" s="16">
        <f t="shared" si="2"/>
        <v>15290.36</v>
      </c>
      <c r="D12" s="15" t="str">
        <f t="shared" si="3"/>
        <v>vis</v>
      </c>
      <c r="E12" s="24">
        <f>VLOOKUP(C12,A!C$21:E$973,3,FALSE)</f>
        <v>0.014360324147642246</v>
      </c>
      <c r="F12" s="6" t="s">
        <v>43</v>
      </c>
      <c r="G12" s="15" t="str">
        <f t="shared" si="4"/>
        <v>15290.36</v>
      </c>
      <c r="H12" s="16">
        <f t="shared" si="5"/>
        <v>0</v>
      </c>
      <c r="I12" s="25" t="s">
        <v>45</v>
      </c>
      <c r="J12" s="26" t="s">
        <v>46</v>
      </c>
      <c r="K12" s="25">
        <v>0</v>
      </c>
      <c r="L12" s="25" t="s">
        <v>47</v>
      </c>
      <c r="M12" s="26" t="s">
        <v>48</v>
      </c>
      <c r="N12" s="26"/>
      <c r="O12" s="27" t="s">
        <v>49</v>
      </c>
      <c r="P12" s="27" t="s">
        <v>50</v>
      </c>
    </row>
    <row r="13" spans="1:16" ht="12.75" customHeight="1" thickBot="1">
      <c r="A13" s="16" t="str">
        <f t="shared" si="0"/>
        <v> AC 194.28 </v>
      </c>
      <c r="B13" s="6" t="str">
        <f t="shared" si="1"/>
        <v>I</v>
      </c>
      <c r="C13" s="16">
        <f t="shared" si="2"/>
        <v>18267.17</v>
      </c>
      <c r="D13" s="15" t="str">
        <f t="shared" si="3"/>
        <v>vis</v>
      </c>
      <c r="E13" s="24">
        <f>VLOOKUP(C13,A!C$21:E$973,3,FALSE)</f>
        <v>474.99165505607834</v>
      </c>
      <c r="F13" s="6" t="s">
        <v>43</v>
      </c>
      <c r="G13" s="15" t="str">
        <f t="shared" si="4"/>
        <v>18267.17</v>
      </c>
      <c r="H13" s="16">
        <f t="shared" si="5"/>
        <v>475</v>
      </c>
      <c r="I13" s="25" t="s">
        <v>51</v>
      </c>
      <c r="J13" s="26" t="s">
        <v>52</v>
      </c>
      <c r="K13" s="25">
        <v>475</v>
      </c>
      <c r="L13" s="25" t="s">
        <v>53</v>
      </c>
      <c r="M13" s="26" t="s">
        <v>48</v>
      </c>
      <c r="N13" s="26"/>
      <c r="O13" s="27" t="s">
        <v>49</v>
      </c>
      <c r="P13" s="27" t="s">
        <v>50</v>
      </c>
    </row>
    <row r="14" spans="1:16" ht="12.75" customHeight="1" thickBot="1">
      <c r="A14" s="16" t="str">
        <f t="shared" si="0"/>
        <v> AC 194.28 </v>
      </c>
      <c r="B14" s="6" t="str">
        <f t="shared" si="1"/>
        <v>I</v>
      </c>
      <c r="C14" s="16">
        <f t="shared" si="2"/>
        <v>29285.18</v>
      </c>
      <c r="D14" s="15" t="str">
        <f t="shared" si="3"/>
        <v>vis</v>
      </c>
      <c r="E14" s="24">
        <f>VLOOKUP(C14,A!C$21:E$973,3,FALSE)</f>
        <v>2233.0160446306113</v>
      </c>
      <c r="F14" s="6" t="s">
        <v>43</v>
      </c>
      <c r="G14" s="15" t="str">
        <f t="shared" si="4"/>
        <v>29285.18</v>
      </c>
      <c r="H14" s="16">
        <f t="shared" si="5"/>
        <v>2233</v>
      </c>
      <c r="I14" s="25" t="s">
        <v>54</v>
      </c>
      <c r="J14" s="26" t="s">
        <v>55</v>
      </c>
      <c r="K14" s="25">
        <v>2233</v>
      </c>
      <c r="L14" s="25" t="s">
        <v>56</v>
      </c>
      <c r="M14" s="26" t="s">
        <v>48</v>
      </c>
      <c r="N14" s="26"/>
      <c r="O14" s="27" t="s">
        <v>49</v>
      </c>
      <c r="P14" s="27" t="s">
        <v>50</v>
      </c>
    </row>
    <row r="15" spans="1:16" ht="12.75" customHeight="1" thickBot="1">
      <c r="A15" s="16" t="str">
        <f t="shared" si="0"/>
        <v> AC 194.28 </v>
      </c>
      <c r="B15" s="6" t="str">
        <f t="shared" si="1"/>
        <v>I</v>
      </c>
      <c r="C15" s="16">
        <f t="shared" si="2"/>
        <v>36091.29</v>
      </c>
      <c r="D15" s="15" t="str">
        <f t="shared" si="3"/>
        <v>vis</v>
      </c>
      <c r="E15" s="24">
        <f>VLOOKUP(C15,A!C$21:E$973,3,FALSE)</f>
        <v>3318.9932200122926</v>
      </c>
      <c r="F15" s="6" t="s">
        <v>43</v>
      </c>
      <c r="G15" s="15" t="str">
        <f t="shared" si="4"/>
        <v>36091.29</v>
      </c>
      <c r="H15" s="16">
        <f t="shared" si="5"/>
        <v>3319</v>
      </c>
      <c r="I15" s="25" t="s">
        <v>57</v>
      </c>
      <c r="J15" s="26" t="s">
        <v>58</v>
      </c>
      <c r="K15" s="25">
        <v>3319</v>
      </c>
      <c r="L15" s="25" t="s">
        <v>59</v>
      </c>
      <c r="M15" s="26" t="s">
        <v>60</v>
      </c>
      <c r="N15" s="26"/>
      <c r="O15" s="27" t="s">
        <v>49</v>
      </c>
      <c r="P15" s="27" t="s">
        <v>50</v>
      </c>
    </row>
    <row r="16" spans="1:16" ht="12.75" customHeight="1" thickBot="1">
      <c r="A16" s="16" t="str">
        <f t="shared" si="0"/>
        <v> AC 194.28 </v>
      </c>
      <c r="B16" s="6" t="str">
        <f t="shared" si="1"/>
        <v>I</v>
      </c>
      <c r="C16" s="16">
        <f t="shared" si="2"/>
        <v>36110.21</v>
      </c>
      <c r="D16" s="15" t="str">
        <f t="shared" si="3"/>
        <v>vis</v>
      </c>
      <c r="E16" s="24">
        <f>VLOOKUP(C16,A!C$21:E$973,3,FALSE)</f>
        <v>3322.0120792664366</v>
      </c>
      <c r="F16" s="6" t="s">
        <v>43</v>
      </c>
      <c r="G16" s="15" t="str">
        <f t="shared" si="4"/>
        <v>36110.21</v>
      </c>
      <c r="H16" s="16">
        <f t="shared" si="5"/>
        <v>3322</v>
      </c>
      <c r="I16" s="25" t="s">
        <v>61</v>
      </c>
      <c r="J16" s="26" t="s">
        <v>62</v>
      </c>
      <c r="K16" s="25">
        <v>3322</v>
      </c>
      <c r="L16" s="25" t="s">
        <v>63</v>
      </c>
      <c r="M16" s="26" t="s">
        <v>60</v>
      </c>
      <c r="N16" s="26"/>
      <c r="O16" s="27" t="s">
        <v>49</v>
      </c>
      <c r="P16" s="27" t="s">
        <v>50</v>
      </c>
    </row>
    <row r="17" spans="1:16" ht="12.75" customHeight="1" thickBot="1">
      <c r="A17" s="16" t="str">
        <f t="shared" si="0"/>
        <v> AC 194.28 </v>
      </c>
      <c r="B17" s="6" t="str">
        <f t="shared" si="1"/>
        <v>I</v>
      </c>
      <c r="C17" s="16">
        <f t="shared" si="2"/>
        <v>36141.42</v>
      </c>
      <c r="D17" s="15" t="str">
        <f t="shared" si="3"/>
        <v>vis</v>
      </c>
      <c r="E17" s="24">
        <f>VLOOKUP(C17,A!C$21:E$973,3,FALSE)</f>
        <v>3326.991920562516</v>
      </c>
      <c r="F17" s="6" t="s">
        <v>43</v>
      </c>
      <c r="G17" s="15" t="str">
        <f t="shared" si="4"/>
        <v>36141.42</v>
      </c>
      <c r="H17" s="16">
        <f t="shared" si="5"/>
        <v>3327</v>
      </c>
      <c r="I17" s="25" t="s">
        <v>64</v>
      </c>
      <c r="J17" s="26" t="s">
        <v>65</v>
      </c>
      <c r="K17" s="25">
        <v>3327</v>
      </c>
      <c r="L17" s="25" t="s">
        <v>53</v>
      </c>
      <c r="M17" s="26" t="s">
        <v>60</v>
      </c>
      <c r="N17" s="26"/>
      <c r="O17" s="27" t="s">
        <v>49</v>
      </c>
      <c r="P17" s="27" t="s">
        <v>50</v>
      </c>
    </row>
    <row r="18" spans="1:16" ht="12.75" customHeight="1" thickBot="1">
      <c r="A18" s="16" t="str">
        <f t="shared" si="0"/>
        <v> AC 194.28 </v>
      </c>
      <c r="B18" s="6" t="str">
        <f t="shared" si="1"/>
        <v>I</v>
      </c>
      <c r="C18" s="16">
        <f t="shared" si="2"/>
        <v>36354.42</v>
      </c>
      <c r="D18" s="15" t="str">
        <f t="shared" si="3"/>
        <v>vis</v>
      </c>
      <c r="E18" s="24">
        <f>VLOOKUP(C18,A!C$21:E$973,3,FALSE)</f>
        <v>3360.9780210452145</v>
      </c>
      <c r="F18" s="6" t="s">
        <v>43</v>
      </c>
      <c r="G18" s="15" t="str">
        <f t="shared" si="4"/>
        <v>36354.42</v>
      </c>
      <c r="H18" s="16">
        <f t="shared" si="5"/>
        <v>3361</v>
      </c>
      <c r="I18" s="25" t="s">
        <v>66</v>
      </c>
      <c r="J18" s="26" t="s">
        <v>67</v>
      </c>
      <c r="K18" s="25">
        <v>3361</v>
      </c>
      <c r="L18" s="25" t="s">
        <v>68</v>
      </c>
      <c r="M18" s="26" t="s">
        <v>60</v>
      </c>
      <c r="N18" s="26"/>
      <c r="O18" s="27" t="s">
        <v>49</v>
      </c>
      <c r="P18" s="27" t="s">
        <v>50</v>
      </c>
    </row>
    <row r="19" spans="1:16" ht="12.75" customHeight="1" thickBot="1">
      <c r="A19" s="16" t="str">
        <f t="shared" si="0"/>
        <v> AC 194.28 </v>
      </c>
      <c r="B19" s="6" t="str">
        <f t="shared" si="1"/>
        <v>I</v>
      </c>
      <c r="C19" s="16">
        <f t="shared" si="2"/>
        <v>36373.38</v>
      </c>
      <c r="D19" s="15" t="str">
        <f t="shared" si="3"/>
        <v>vis</v>
      </c>
      <c r="E19" s="24">
        <f>VLOOKUP(C19,A!C$21:E$973,3,FALSE)</f>
        <v>3364.003262665646</v>
      </c>
      <c r="F19" s="6" t="s">
        <v>43</v>
      </c>
      <c r="G19" s="15" t="str">
        <f t="shared" si="4"/>
        <v>36373.38</v>
      </c>
      <c r="H19" s="16">
        <f t="shared" si="5"/>
        <v>3364</v>
      </c>
      <c r="I19" s="25" t="s">
        <v>69</v>
      </c>
      <c r="J19" s="26" t="s">
        <v>70</v>
      </c>
      <c r="K19" s="25">
        <v>3364</v>
      </c>
      <c r="L19" s="25" t="s">
        <v>71</v>
      </c>
      <c r="M19" s="26" t="s">
        <v>60</v>
      </c>
      <c r="N19" s="26"/>
      <c r="O19" s="27" t="s">
        <v>49</v>
      </c>
      <c r="P19" s="27" t="s">
        <v>50</v>
      </c>
    </row>
    <row r="20" spans="1:16" ht="12.75" customHeight="1" thickBot="1">
      <c r="A20" s="16" t="str">
        <f t="shared" si="0"/>
        <v> BBS 119 </v>
      </c>
      <c r="B20" s="6" t="str">
        <f t="shared" si="1"/>
        <v>I</v>
      </c>
      <c r="C20" s="16">
        <f t="shared" si="2"/>
        <v>51051.425</v>
      </c>
      <c r="D20" s="15" t="str">
        <f t="shared" si="3"/>
        <v>vis</v>
      </c>
      <c r="E20" s="24">
        <f>VLOOKUP(C20,A!C$21:E$973,3,FALSE)</f>
        <v>5706.019752147187</v>
      </c>
      <c r="F20" s="6" t="s">
        <v>43</v>
      </c>
      <c r="G20" s="15" t="str">
        <f t="shared" si="4"/>
        <v>51051.425</v>
      </c>
      <c r="H20" s="16">
        <f t="shared" si="5"/>
        <v>5706</v>
      </c>
      <c r="I20" s="25" t="s">
        <v>77</v>
      </c>
      <c r="J20" s="26" t="s">
        <v>78</v>
      </c>
      <c r="K20" s="25">
        <v>5706</v>
      </c>
      <c r="L20" s="25" t="s">
        <v>79</v>
      </c>
      <c r="M20" s="26" t="s">
        <v>60</v>
      </c>
      <c r="N20" s="26"/>
      <c r="O20" s="27" t="s">
        <v>80</v>
      </c>
      <c r="P20" s="27" t="s">
        <v>81</v>
      </c>
    </row>
    <row r="21" spans="1:16" ht="12.75" customHeight="1" thickBot="1">
      <c r="A21" s="16" t="str">
        <f t="shared" si="0"/>
        <v> BBS 119 </v>
      </c>
      <c r="B21" s="6" t="str">
        <f t="shared" si="1"/>
        <v>I</v>
      </c>
      <c r="C21" s="16">
        <f t="shared" si="2"/>
        <v>51076.404</v>
      </c>
      <c r="D21" s="15" t="str">
        <f t="shared" si="3"/>
        <v>vis</v>
      </c>
      <c r="E21" s="24">
        <f>VLOOKUP(C21,A!C$21:E$973,3,FALSE)</f>
        <v>5710.005380334782</v>
      </c>
      <c r="F21" s="6" t="s">
        <v>43</v>
      </c>
      <c r="G21" s="15" t="str">
        <f t="shared" si="4"/>
        <v>51076.404</v>
      </c>
      <c r="H21" s="16">
        <f t="shared" si="5"/>
        <v>5710</v>
      </c>
      <c r="I21" s="25" t="s">
        <v>82</v>
      </c>
      <c r="J21" s="26" t="s">
        <v>83</v>
      </c>
      <c r="K21" s="25">
        <v>5710</v>
      </c>
      <c r="L21" s="25" t="s">
        <v>84</v>
      </c>
      <c r="M21" s="26" t="s">
        <v>60</v>
      </c>
      <c r="N21" s="26"/>
      <c r="O21" s="27" t="s">
        <v>80</v>
      </c>
      <c r="P21" s="27" t="s">
        <v>81</v>
      </c>
    </row>
    <row r="22" spans="1:16" ht="12.75" customHeight="1" thickBot="1">
      <c r="A22" s="16" t="str">
        <f t="shared" si="0"/>
        <v> BRNO 32 </v>
      </c>
      <c r="B22" s="6" t="str">
        <f t="shared" si="1"/>
        <v>I</v>
      </c>
      <c r="C22" s="16">
        <f t="shared" si="2"/>
        <v>51665.5327</v>
      </c>
      <c r="D22" s="15" t="str">
        <f t="shared" si="3"/>
        <v>vis</v>
      </c>
      <c r="E22" s="24">
        <f>VLOOKUP(C22,A!C$21:E$973,3,FALSE)</f>
        <v>5804.00625918662</v>
      </c>
      <c r="F22" s="6" t="s">
        <v>43</v>
      </c>
      <c r="G22" s="15" t="str">
        <f t="shared" si="4"/>
        <v>51665.5327</v>
      </c>
      <c r="H22" s="16">
        <f t="shared" si="5"/>
        <v>5804</v>
      </c>
      <c r="I22" s="25" t="s">
        <v>85</v>
      </c>
      <c r="J22" s="26" t="s">
        <v>86</v>
      </c>
      <c r="K22" s="25">
        <v>5804</v>
      </c>
      <c r="L22" s="25" t="s">
        <v>87</v>
      </c>
      <c r="M22" s="26" t="s">
        <v>88</v>
      </c>
      <c r="N22" s="26" t="s">
        <v>89</v>
      </c>
      <c r="O22" s="27" t="s">
        <v>90</v>
      </c>
      <c r="P22" s="27" t="s">
        <v>91</v>
      </c>
    </row>
    <row r="23" spans="1:16" ht="12.75" customHeight="1" thickBot="1">
      <c r="A23" s="16" t="str">
        <f t="shared" si="0"/>
        <v>BAVM 193 </v>
      </c>
      <c r="B23" s="6" t="str">
        <f t="shared" si="1"/>
        <v>I</v>
      </c>
      <c r="C23" s="16">
        <f t="shared" si="2"/>
        <v>54360.511</v>
      </c>
      <c r="D23" s="15" t="str">
        <f t="shared" si="3"/>
        <v>vis</v>
      </c>
      <c r="E23" s="24">
        <f>VLOOKUP(C23,A!C$21:E$973,3,FALSE)</f>
        <v>6234.014725395499</v>
      </c>
      <c r="F23" s="6" t="s">
        <v>43</v>
      </c>
      <c r="G23" s="15" t="str">
        <f t="shared" si="4"/>
        <v>54360.5110</v>
      </c>
      <c r="H23" s="16">
        <f t="shared" si="5"/>
        <v>6234</v>
      </c>
      <c r="I23" s="25" t="s">
        <v>92</v>
      </c>
      <c r="J23" s="26" t="s">
        <v>93</v>
      </c>
      <c r="K23" s="25">
        <v>6234</v>
      </c>
      <c r="L23" s="25" t="s">
        <v>94</v>
      </c>
      <c r="M23" s="26" t="s">
        <v>95</v>
      </c>
      <c r="N23" s="26" t="s">
        <v>96</v>
      </c>
      <c r="O23" s="27" t="s">
        <v>97</v>
      </c>
      <c r="P23" s="28" t="s">
        <v>98</v>
      </c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</sheetData>
  <sheetProtection/>
  <hyperlinks>
    <hyperlink ref="P23" r:id="rId1" display="http://www.bav-astro.de/sfs/BAVM_link.php?BAVMnr=19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