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700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<sst xmlns="http://schemas.openxmlformats.org/spreadsheetml/2006/main" count="145" uniqueCount="98">
  <si>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</si>
  <si>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</si>
  <si>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</si>
  <si>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</si>
  <si>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</si>
  <si>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</si>
  <si>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</si>
  <si>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</si>
  <si>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</si>
  <si>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</si>
  <si>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</si>
  <si>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</si>
  <si>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</si>
  <si>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</si>
  <si>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</si>
  <si>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</si>
  <si>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</si>
  <si>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</si>
  <si>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</si>
  <si>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</si>
  <si>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</si>
  <si>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</si>
  <si>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</si>
  <si>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</si>
  <si>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</si>
  <si>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</si>
  <si>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</si>
  <si>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</si>
  <si>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</si>
  <si>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</si>
  <si>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</si>
  <si>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</si>
  <si>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</si>
  <si>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</si>
  <si>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</si>
  <si>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</si>
  <si>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</si>
  <si>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</si>
  <si>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</si>
  <si>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V0789 Cyg</t>
  </si>
  <si>
    <t>BRNO</t>
  </si>
  <si>
    <t>OEJV 0160</t>
  </si>
  <si>
    <t>I</t>
  </si>
  <si>
    <t>IBVS 6118</t>
  </si>
  <si>
    <t>V789 Cyg / GSC na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</si>
  <si>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</si>
  <si>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</si>
  <si>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</si>
  <si>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</si>
  <si>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</si>
  <si>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</si>
  <si>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</si>
  <si>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</si>
  <si>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</si>
  <si>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</si>
  <si>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</si>
  <si>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2451867.313 </t>
  </si>
  <si>
    <t> 18.11.2000 19:30 </t>
  </si>
  <si>
    <t> 0.015 </t>
  </si>
  <si>
    <t>E </t>
  </si>
  <si>
    <t>?</t>
  </si>
  <si>
    <t> E.Blättler </t>
  </si>
  <si>
    <t> BBS 124 </t>
  </si>
  <si>
    <t>2454639.4796 </t>
  </si>
  <si>
    <t> 21.06.2008 23:30 </t>
  </si>
  <si>
    <t> 0.0594 </t>
  </si>
  <si>
    <t>C </t>
  </si>
  <si>
    <t>-I</t>
  </si>
  <si>
    <t> F.Agerer </t>
  </si>
  <si>
    <t>BAVM 225 </t>
  </si>
  <si>
    <t>2455388.5007 </t>
  </si>
  <si>
    <t> 11.07.2010 00:01 </t>
  </si>
  <si>
    <t>78462</t>
  </si>
  <si>
    <t> -0.0014 </t>
  </si>
  <si>
    <t>R</t>
  </si>
  <si>
    <t> F.Lomoz </t>
  </si>
  <si>
    <t>OEJV 0137 </t>
  </si>
  <si>
    <t>2455478.2920 </t>
  </si>
  <si>
    <t> 08.10.2010 19:00 </t>
  </si>
  <si>
    <t>78773</t>
  </si>
  <si>
    <t> 0.0501 </t>
  </si>
  <si>
    <t>2455794.4722 </t>
  </si>
  <si>
    <t> 20.08.2011 23:19 </t>
  </si>
  <si>
    <t>79869</t>
  </si>
  <si>
    <t> -0.0230 </t>
  </si>
  <si>
    <t>2456106.3958 </t>
  </si>
  <si>
    <t> 27.06.2012 21:29 </t>
  </si>
  <si>
    <t>80950</t>
  </si>
  <si>
    <t> -0.0245 </t>
  </si>
  <si>
    <t> N.Ruocco </t>
  </si>
  <si>
    <t>OEJV 0160 </t>
  </si>
  <si>
    <t>2456494.4519 </t>
  </si>
  <si>
    <t> 20.07.2013 22:50 </t>
  </si>
  <si>
    <t>82294.5</t>
  </si>
  <si>
    <t> 0.0730 </t>
  </si>
  <si>
    <t>BAVM 234 </t>
  </si>
  <si>
    <t>OEJV 0137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</si>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</sst>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/>
    </xf>
    <xf numFmtId="0" fontId="16" fillId="25" borderId="0" xfId="0" applyFont="1" applyFill="1" applyAlignment="1">
      <alignment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 applyAlignment="1">
      <alignment horizontal="left"/>
      <protection/>
    </xf>
    <xf numFmtId="0" fontId="13" fillId="26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V0789 Cyg - O-C Diagr.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025"/>
          <c:w val="0.927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0.0018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3898999"/>
        <c:axId val="15328944"/>
      </c:scatterChart>
      <c:valAx>
        <c:axId val="53898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944"/>
        <c:crosses val="autoZero"/>
        <c:crossBetween val="midCat"/>
        <c:dispUnits/>
      </c:valAx>
      <c:valAx>
        <c:axId val="15328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989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25"/>
          <c:y val="0.934"/>
          <c:w val="0.518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21</xdr:col>
      <xdr:colOff>19050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91050" y="0"/>
        <a:ext cx="88201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25" TargetMode="External" /><Relationship Id="rId2" Type="http://schemas.openxmlformats.org/officeDocument/2006/relationships/hyperlink" Target="http://var.astro.cz/oejv/issues/oejv0137.pdf" TargetMode="External" /><Relationship Id="rId3" Type="http://schemas.openxmlformats.org/officeDocument/2006/relationships/hyperlink" Target="http://www.bav-astro.de/sfs/BAVM_link.php?BAVMnr=225" TargetMode="External" /><Relationship Id="rId4" Type="http://schemas.openxmlformats.org/officeDocument/2006/relationships/hyperlink" Target="http://www.bav-astro.de/sfs/BAVM_link.php?BAVMnr=225" TargetMode="External" /><Relationship Id="rId5" Type="http://schemas.openxmlformats.org/officeDocument/2006/relationships/hyperlink" Target="http://var.astro.cz/oejv/issues/oejv0160.pdf" TargetMode="External" /><Relationship Id="rId6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3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20" width="9.8515625" style="0" customWidth="1"/>
  </cols>
  <sheetData>
    <row r="1" ht="20.25">
      <c r="A1" s="1" t="s">
        <v>44</v>
      </c>
    </row>
    <row r="2" spans="1:6" ht="12.75">
      <c r="A2" t="s">
        <v>24</v>
      </c>
      <c r="B2" s="3" t="s">
        <v>14</v>
      </c>
      <c r="C2" s="3"/>
      <c r="D2" s="3"/>
      <c r="E2" t="s">
        <v>39</v>
      </c>
      <c r="F2" t="s">
        <v>14</v>
      </c>
    </row>
    <row r="3" ht="13.5" thickBot="1"/>
    <row r="4" spans="1:4" ht="14.25" thickBot="1" thickTop="1">
      <c r="A4" s="5" t="s">
        <v>1</v>
      </c>
      <c r="C4" s="27" t="s">
        <v>38</v>
      </c>
      <c r="D4" s="28" t="s">
        <v>38</v>
      </c>
    </row>
    <row r="5" spans="1:4" ht="13.5" thickTop="1">
      <c r="A5" s="9" t="s">
        <v>29</v>
      </c>
      <c r="B5" s="52"/>
      <c r="C5" s="11">
        <v>-9.5</v>
      </c>
      <c r="D5" s="10" t="s">
        <v>30</v>
      </c>
    </row>
    <row r="6" ht="12.75">
      <c r="A6" s="5" t="s">
        <v>2</v>
      </c>
    </row>
    <row r="7" spans="1:4" ht="12.75">
      <c r="A7" t="s">
        <v>3</v>
      </c>
      <c r="C7" s="8">
        <v>55388.50073</v>
      </c>
      <c r="D7" s="29" t="s">
        <v>40</v>
      </c>
    </row>
    <row r="8" spans="1:4" ht="12.75">
      <c r="A8" t="s">
        <v>4</v>
      </c>
      <c r="C8" s="8">
        <v>0.288551</v>
      </c>
      <c r="D8" s="29" t="s">
        <v>40</v>
      </c>
    </row>
    <row r="9" spans="1:4" ht="12.75">
      <c r="A9" s="24" t="s">
        <v>33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52"/>
      <c r="C10" s="4" t="s">
        <v>20</v>
      </c>
      <c r="D10" s="4" t="s">
        <v>21</v>
      </c>
      <c r="E10" s="10"/>
    </row>
    <row r="11" spans="1:5" ht="12.75">
      <c r="A11" s="10" t="s">
        <v>16</v>
      </c>
      <c r="B11" s="52"/>
      <c r="C11" s="21">
        <f ca="1">INTERCEPT(INDIRECT($D$9):G992,INDIRECT($C$9):F992)</f>
        <v>0.01615767348033701</v>
      </c>
      <c r="D11" s="3"/>
      <c r="E11" s="10"/>
    </row>
    <row r="12" spans="1:5" ht="12.75">
      <c r="A12" s="10" t="s">
        <v>17</v>
      </c>
      <c r="B12" s="52"/>
      <c r="C12" s="21">
        <f ca="1">SLOPE(INDIRECT($D$9):G992,INDIRECT($C$9):F992)</f>
        <v>-2.2242326239284636E-05</v>
      </c>
      <c r="D12" s="3"/>
      <c r="E12" s="10"/>
    </row>
    <row r="13" spans="1:3" ht="12.75">
      <c r="A13" s="10" t="s">
        <v>19</v>
      </c>
      <c r="B13" s="52"/>
      <c r="C13" s="3" t="s">
        <v>14</v>
      </c>
    </row>
    <row r="14" spans="1:3" ht="12.75">
      <c r="A14" s="10"/>
      <c r="B14" s="52"/>
      <c r="C14" s="10"/>
    </row>
    <row r="15" spans="1:6" ht="12.75">
      <c r="A15" s="12" t="s">
        <v>18</v>
      </c>
      <c r="B15" s="52"/>
      <c r="C15" s="13">
        <f>(C7+C11)+(C8+C12)*INT(MAX(F21:F3533))</f>
        <v>57515.55088924445</v>
      </c>
      <c r="E15" s="14" t="s">
        <v>35</v>
      </c>
      <c r="F15" s="11">
        <v>1</v>
      </c>
    </row>
    <row r="16" spans="1:6" ht="12.75">
      <c r="A16" s="16" t="s">
        <v>5</v>
      </c>
      <c r="B16" s="52"/>
      <c r="C16" s="17">
        <f>+C8+C12</f>
        <v>0.28852875767376074</v>
      </c>
      <c r="E16" s="14" t="s">
        <v>31</v>
      </c>
      <c r="F16" s="15">
        <f ca="1">NOW()+15018.5+$C$5/24</f>
        <v>59896.814084143516</v>
      </c>
    </row>
    <row r="17" spans="1:6" ht="13.5" thickBot="1">
      <c r="A17" s="14" t="s">
        <v>28</v>
      </c>
      <c r="B17" s="52"/>
      <c r="C17" s="10">
        <f>COUNT(C21:C2191)</f>
        <v>9</v>
      </c>
      <c r="E17" s="14" t="s">
        <v>36</v>
      </c>
      <c r="F17" s="15">
        <f>ROUND(2*(F16-$C$7)/$C$8,0)/2+F15</f>
        <v>15625</v>
      </c>
    </row>
    <row r="18" spans="1:6" ht="14.25" thickBot="1" thickTop="1">
      <c r="A18" s="16" t="s">
        <v>6</v>
      </c>
      <c r="B18" s="52"/>
      <c r="C18" s="19">
        <f>+C15</f>
        <v>57515.55088924445</v>
      </c>
      <c r="D18" s="20">
        <f>+C16</f>
        <v>0.28852875767376074</v>
      </c>
      <c r="E18" s="14" t="s">
        <v>37</v>
      </c>
      <c r="F18" s="23">
        <f>ROUND(2*(F16-$C$15)/$C$16,0)/2+F15</f>
        <v>8254</v>
      </c>
    </row>
    <row r="19" spans="5:6" ht="13.5" thickTop="1">
      <c r="E19" s="14" t="s">
        <v>32</v>
      </c>
      <c r="F19" s="18">
        <f>+$C$15+$C$16*F18-15018.5-$C$5/24</f>
        <v>44878.963088417004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52</v>
      </c>
      <c r="I20" s="7" t="s">
        <v>55</v>
      </c>
      <c r="J20" s="7" t="s">
        <v>49</v>
      </c>
      <c r="K20" s="7" t="s">
        <v>47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R20" s="4"/>
      <c r="S20" s="4"/>
      <c r="T20" s="4"/>
      <c r="U20" s="26" t="s">
        <v>34</v>
      </c>
    </row>
    <row r="21" spans="1:20" ht="12.75">
      <c r="A21" s="50" t="s">
        <v>62</v>
      </c>
      <c r="B21" s="53" t="s">
        <v>42</v>
      </c>
      <c r="C21" s="51">
        <v>51867.313</v>
      </c>
      <c r="D21" s="51" t="s">
        <v>55</v>
      </c>
      <c r="E21">
        <f aca="true" t="shared" si="0" ref="E21:E28">+(C21-C$7)/C$8</f>
        <v>-12202.999573732191</v>
      </c>
      <c r="F21" s="54">
        <f>ROUND(2*E21,0)/2-1</f>
        <v>-12204</v>
      </c>
      <c r="G21">
        <f aca="true" t="shared" si="1" ref="G21:G28">+C21-(C$7+F21*C$8)</f>
        <v>0.2886740000030841</v>
      </c>
      <c r="I21">
        <f>+G21</f>
        <v>0.2886740000030841</v>
      </c>
      <c r="O21">
        <f aca="true" t="shared" si="2" ref="O21:O28">+C$11+C$12*$F21</f>
        <v>0.28760302290456674</v>
      </c>
      <c r="Q21" s="2">
        <f aca="true" t="shared" si="3" ref="Q21:Q28">+C21-15018.5</f>
        <v>36848.813</v>
      </c>
      <c r="R21" s="2"/>
      <c r="S21" s="2"/>
      <c r="T21" s="2"/>
    </row>
    <row r="22" spans="1:20" ht="12.75">
      <c r="A22" s="50" t="s">
        <v>69</v>
      </c>
      <c r="B22" s="53" t="s">
        <v>42</v>
      </c>
      <c r="C22" s="51">
        <v>54639.4796</v>
      </c>
      <c r="D22" s="51" t="s">
        <v>55</v>
      </c>
      <c r="E22">
        <f t="shared" si="0"/>
        <v>-2595.8015394159124</v>
      </c>
      <c r="F22">
        <f aca="true" t="shared" si="4" ref="F22:F28">ROUND(2*E22,0)/2</f>
        <v>-2596</v>
      </c>
      <c r="G22">
        <f t="shared" si="1"/>
        <v>0.057265999996161554</v>
      </c>
      <c r="K22">
        <f>+G22</f>
        <v>0.057265999996161554</v>
      </c>
      <c r="O22">
        <f t="shared" si="2"/>
        <v>0.07389875239751992</v>
      </c>
      <c r="Q22" s="2">
        <f t="shared" si="3"/>
        <v>39620.9796</v>
      </c>
      <c r="R22" s="2"/>
      <c r="S22" s="2"/>
      <c r="T22" s="2"/>
    </row>
    <row r="23" spans="1:20" ht="12.75">
      <c r="A23" s="50" t="s">
        <v>96</v>
      </c>
      <c r="B23" s="53" t="s">
        <v>42</v>
      </c>
      <c r="C23" s="51">
        <v>55388.5007</v>
      </c>
      <c r="D23" s="51" t="s">
        <v>55</v>
      </c>
      <c r="E23">
        <f t="shared" si="0"/>
        <v>-0.00010396776611453457</v>
      </c>
      <c r="F23">
        <f t="shared" si="4"/>
        <v>0</v>
      </c>
      <c r="G23">
        <f t="shared" si="1"/>
        <v>-3.0000002880115062E-05</v>
      </c>
      <c r="K23">
        <f>+G23</f>
        <v>-3.0000002880115062E-05</v>
      </c>
      <c r="O23">
        <f t="shared" si="2"/>
        <v>0.01615767348033701</v>
      </c>
      <c r="Q23" s="2">
        <f t="shared" si="3"/>
        <v>40370.0007</v>
      </c>
      <c r="R23" s="2"/>
      <c r="S23" s="2"/>
      <c r="T23" s="2"/>
    </row>
    <row r="24" spans="1:20" ht="12.75">
      <c r="A24" t="s">
        <v>40</v>
      </c>
      <c r="C24" s="8">
        <f>C$7</f>
        <v>55388.50073</v>
      </c>
      <c r="D24" s="8" t="s">
        <v>14</v>
      </c>
      <c r="E24">
        <f t="shared" si="0"/>
        <v>0</v>
      </c>
      <c r="F24">
        <f t="shared" si="4"/>
        <v>0</v>
      </c>
      <c r="G24">
        <f t="shared" si="1"/>
        <v>0</v>
      </c>
      <c r="H24">
        <f>+G24</f>
        <v>0</v>
      </c>
      <c r="O24">
        <f t="shared" si="2"/>
        <v>0.01615767348033701</v>
      </c>
      <c r="Q24" s="2">
        <f t="shared" si="3"/>
        <v>40370.00073</v>
      </c>
      <c r="R24" s="2"/>
      <c r="S24" s="2"/>
      <c r="T24" s="2"/>
    </row>
    <row r="25" spans="1:20" ht="12.75">
      <c r="A25" s="50" t="s">
        <v>69</v>
      </c>
      <c r="B25" s="53" t="s">
        <v>42</v>
      </c>
      <c r="C25" s="51">
        <v>55478.292</v>
      </c>
      <c r="D25" s="51" t="s">
        <v>55</v>
      </c>
      <c r="E25">
        <f t="shared" si="0"/>
        <v>311.17989540844263</v>
      </c>
      <c r="F25">
        <f t="shared" si="4"/>
        <v>311</v>
      </c>
      <c r="G25">
        <f t="shared" si="1"/>
        <v>0.05190900000161491</v>
      </c>
      <c r="K25">
        <f>+G25</f>
        <v>0.05190900000161491</v>
      </c>
      <c r="O25">
        <f t="shared" si="2"/>
        <v>0.009240310019919488</v>
      </c>
      <c r="Q25" s="2">
        <f t="shared" si="3"/>
        <v>40459.792</v>
      </c>
      <c r="R25" s="2"/>
      <c r="S25" s="2"/>
      <c r="T25" s="2"/>
    </row>
    <row r="26" spans="1:20" ht="12.75">
      <c r="A26" s="50" t="s">
        <v>69</v>
      </c>
      <c r="B26" s="53" t="s">
        <v>42</v>
      </c>
      <c r="C26" s="51">
        <v>55794.4722</v>
      </c>
      <c r="D26" s="51" t="s">
        <v>55</v>
      </c>
      <c r="E26">
        <f t="shared" si="0"/>
        <v>1406.9314263336353</v>
      </c>
      <c r="F26">
        <f t="shared" si="4"/>
        <v>1407</v>
      </c>
      <c r="G26">
        <f t="shared" si="1"/>
        <v>-0.019787000004725996</v>
      </c>
      <c r="K26">
        <f>+G26</f>
        <v>-0.019787000004725996</v>
      </c>
      <c r="O26">
        <f t="shared" si="2"/>
        <v>-0.01513727953833647</v>
      </c>
      <c r="Q26" s="2">
        <f t="shared" si="3"/>
        <v>40775.9722</v>
      </c>
      <c r="R26" s="2"/>
      <c r="S26" s="2"/>
      <c r="T26" s="2"/>
    </row>
    <row r="27" spans="1:20" ht="12.75">
      <c r="A27" s="30" t="s">
        <v>41</v>
      </c>
      <c r="B27" s="31" t="s">
        <v>42</v>
      </c>
      <c r="C27" s="32">
        <v>56106.3958</v>
      </c>
      <c r="D27" s="32">
        <v>0.002</v>
      </c>
      <c r="E27">
        <f t="shared" si="0"/>
        <v>2487.9313189002937</v>
      </c>
      <c r="F27">
        <f t="shared" si="4"/>
        <v>2488</v>
      </c>
      <c r="G27">
        <f t="shared" si="1"/>
        <v>-0.01981800000066869</v>
      </c>
      <c r="K27">
        <f>+G27</f>
        <v>-0.01981800000066869</v>
      </c>
      <c r="O27">
        <f t="shared" si="2"/>
        <v>-0.039181234203003165</v>
      </c>
      <c r="Q27" s="2">
        <f t="shared" si="3"/>
        <v>41087.8958</v>
      </c>
      <c r="R27" s="2"/>
      <c r="S27" s="2"/>
      <c r="T27" s="2"/>
    </row>
    <row r="28" spans="1:20" ht="12.75">
      <c r="A28" s="33" t="s">
        <v>43</v>
      </c>
      <c r="B28" s="34" t="s">
        <v>42</v>
      </c>
      <c r="C28" s="35">
        <v>56494.4519</v>
      </c>
      <c r="D28" s="36">
        <v>0.0018</v>
      </c>
      <c r="E28">
        <f t="shared" si="0"/>
        <v>3832.775384594059</v>
      </c>
      <c r="F28">
        <f t="shared" si="4"/>
        <v>3833</v>
      </c>
      <c r="G28">
        <f t="shared" si="1"/>
        <v>-0.06481299999722978</v>
      </c>
      <c r="J28">
        <f>+G28</f>
        <v>-0.06481299999722978</v>
      </c>
      <c r="O28">
        <f t="shared" si="2"/>
        <v>-0.069097162994841</v>
      </c>
      <c r="Q28" s="2">
        <f t="shared" si="3"/>
        <v>41475.9519</v>
      </c>
      <c r="R28" s="2"/>
      <c r="S28" s="2"/>
      <c r="T28" s="2"/>
    </row>
    <row r="29" spans="1:20" ht="12.75">
      <c r="A29" s="55" t="s">
        <v>97</v>
      </c>
      <c r="B29" s="56" t="s">
        <v>0</v>
      </c>
      <c r="C29" s="57">
        <v>57515.53713</v>
      </c>
      <c r="D29" s="57">
        <v>0.0001</v>
      </c>
      <c r="E29">
        <f>+(C29-C$7)/C$8</f>
        <v>7371.440057390192</v>
      </c>
      <c r="F29" s="58">
        <f>ROUND(2*E29,0)/2+0.5</f>
        <v>7372</v>
      </c>
      <c r="G29">
        <f>+C29-(C$7+F29*C$8)</f>
        <v>-0.16157200000452576</v>
      </c>
      <c r="K29">
        <f>+G29</f>
        <v>-0.16157200000452576</v>
      </c>
      <c r="O29">
        <f>+C$11+C$12*$F29</f>
        <v>-0.14781275555566933</v>
      </c>
      <c r="Q29" s="2">
        <f>+C29-15018.5</f>
        <v>42497.03713</v>
      </c>
      <c r="R29" s="2"/>
      <c r="S29" s="2"/>
      <c r="T29" s="2"/>
    </row>
    <row r="30" spans="3:20" ht="12.75">
      <c r="C30" s="8"/>
      <c r="D30" s="8"/>
      <c r="Q30" s="2"/>
      <c r="R30" s="2"/>
      <c r="S30" s="2"/>
      <c r="T30" s="2"/>
    </row>
    <row r="31" spans="3:20" ht="12.75">
      <c r="C31" s="8"/>
      <c r="D31" s="8"/>
      <c r="Q31" s="2"/>
      <c r="R31" s="2"/>
      <c r="S31" s="2"/>
      <c r="T31" s="2"/>
    </row>
    <row r="32" spans="3:20" ht="12.75">
      <c r="C32" s="8"/>
      <c r="D32" s="8"/>
      <c r="Q32" s="2"/>
      <c r="R32" s="2"/>
      <c r="S32" s="2"/>
      <c r="T32" s="2"/>
    </row>
    <row r="33" spans="3:20" ht="12.75">
      <c r="C33" s="8"/>
      <c r="D33" s="8"/>
      <c r="Q33" s="2"/>
      <c r="R33" s="2"/>
      <c r="S33" s="2"/>
      <c r="T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973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2"/>
  <sheetViews>
    <sheetView zoomScalePageLayoutView="0" workbookViewId="0" topLeftCell="A1">
      <selection activeCell="A14" sqref="A14:D18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7" t="s">
        <v>45</v>
      </c>
      <c r="I1" s="38" t="s">
        <v>46</v>
      </c>
      <c r="J1" s="39" t="s">
        <v>47</v>
      </c>
    </row>
    <row r="2" spans="9:10" ht="12.75">
      <c r="I2" s="40" t="s">
        <v>48</v>
      </c>
      <c r="J2" s="41" t="s">
        <v>49</v>
      </c>
    </row>
    <row r="3" spans="1:10" ht="12.75">
      <c r="A3" s="42" t="s">
        <v>50</v>
      </c>
      <c r="I3" s="40" t="s">
        <v>51</v>
      </c>
      <c r="J3" s="41" t="s">
        <v>52</v>
      </c>
    </row>
    <row r="4" spans="9:10" ht="12.75">
      <c r="I4" s="40" t="s">
        <v>53</v>
      </c>
      <c r="J4" s="41" t="s">
        <v>52</v>
      </c>
    </row>
    <row r="5" spans="9:10" ht="13.5" thickBot="1">
      <c r="I5" s="43" t="s">
        <v>54</v>
      </c>
      <c r="J5" s="44" t="s">
        <v>55</v>
      </c>
    </row>
    <row r="11" ht="13.5" thickBot="1"/>
    <row r="12" spans="1:16" ht="12.75" customHeight="1" thickBot="1">
      <c r="A12" s="8" t="str">
        <f aca="true" t="shared" si="0" ref="A12:A18">P12</f>
        <v>OEJV 0160 </v>
      </c>
      <c r="B12" s="3" t="str">
        <f aca="true" t="shared" si="1" ref="B12:B18">IF(H12=INT(H12),"I","II")</f>
        <v>I</v>
      </c>
      <c r="C12" s="8">
        <f aca="true" t="shared" si="2" ref="C12:C18">1*G12</f>
        <v>56106.3958</v>
      </c>
      <c r="D12" s="10" t="str">
        <f aca="true" t="shared" si="3" ref="D12:D18">VLOOKUP(F12,I$1:J$5,2,FALSE)</f>
        <v>vis</v>
      </c>
      <c r="E12" s="45">
        <f>VLOOKUP(C12,A!C$21:E$973,3,FALSE)</f>
        <v>2487.9313189002937</v>
      </c>
      <c r="F12" s="3" t="s">
        <v>54</v>
      </c>
      <c r="G12" s="10" t="str">
        <f aca="true" t="shared" si="4" ref="G12:G18">MID(I12,3,LEN(I12)-3)</f>
        <v>56106.3958</v>
      </c>
      <c r="H12" s="8">
        <f aca="true" t="shared" si="5" ref="H12:H18">1*K12</f>
        <v>80950</v>
      </c>
      <c r="I12" s="46" t="s">
        <v>85</v>
      </c>
      <c r="J12" s="47" t="s">
        <v>86</v>
      </c>
      <c r="K12" s="46" t="s">
        <v>87</v>
      </c>
      <c r="L12" s="46" t="s">
        <v>88</v>
      </c>
      <c r="M12" s="47" t="s">
        <v>66</v>
      </c>
      <c r="N12" s="47" t="s">
        <v>46</v>
      </c>
      <c r="O12" s="48" t="s">
        <v>89</v>
      </c>
      <c r="P12" s="49" t="s">
        <v>90</v>
      </c>
    </row>
    <row r="13" spans="1:16" ht="12.75" customHeight="1" thickBot="1">
      <c r="A13" s="8" t="str">
        <f t="shared" si="0"/>
        <v>BAVM 234 </v>
      </c>
      <c r="B13" s="3" t="str">
        <f t="shared" si="1"/>
        <v>II</v>
      </c>
      <c r="C13" s="8">
        <f t="shared" si="2"/>
        <v>56494.4519</v>
      </c>
      <c r="D13" s="10" t="str">
        <f t="shared" si="3"/>
        <v>vis</v>
      </c>
      <c r="E13" s="45">
        <f>VLOOKUP(C13,A!C$21:E$973,3,FALSE)</f>
        <v>3832.775384594059</v>
      </c>
      <c r="F13" s="3" t="s">
        <v>54</v>
      </c>
      <c r="G13" s="10" t="str">
        <f t="shared" si="4"/>
        <v>56494.4519</v>
      </c>
      <c r="H13" s="8">
        <f t="shared" si="5"/>
        <v>82294.5</v>
      </c>
      <c r="I13" s="46" t="s">
        <v>91</v>
      </c>
      <c r="J13" s="47" t="s">
        <v>92</v>
      </c>
      <c r="K13" s="46" t="s">
        <v>93</v>
      </c>
      <c r="L13" s="46" t="s">
        <v>94</v>
      </c>
      <c r="M13" s="47" t="s">
        <v>66</v>
      </c>
      <c r="N13" s="47" t="s">
        <v>67</v>
      </c>
      <c r="O13" s="48" t="s">
        <v>68</v>
      </c>
      <c r="P13" s="49" t="s">
        <v>95</v>
      </c>
    </row>
    <row r="14" spans="1:16" ht="12.75" customHeight="1" thickBot="1">
      <c r="A14" s="8" t="str">
        <f t="shared" si="0"/>
        <v>BAVM 225 </v>
      </c>
      <c r="B14" s="3" t="str">
        <f t="shared" si="1"/>
        <v>I</v>
      </c>
      <c r="C14" s="8">
        <f t="shared" si="2"/>
        <v>54639.4796</v>
      </c>
      <c r="D14" s="10" t="str">
        <f t="shared" si="3"/>
        <v>vis</v>
      </c>
      <c r="E14" s="45">
        <f>VLOOKUP(C14,A!C$21:E$973,3,FALSE)</f>
        <v>-2595.8015394159124</v>
      </c>
      <c r="F14" s="3" t="s">
        <v>54</v>
      </c>
      <c r="G14" s="10" t="str">
        <f t="shared" si="4"/>
        <v>54639.4796</v>
      </c>
      <c r="H14" s="8">
        <f t="shared" si="5"/>
        <v>75866</v>
      </c>
      <c r="I14" s="46" t="s">
        <v>63</v>
      </c>
      <c r="J14" s="47" t="s">
        <v>64</v>
      </c>
      <c r="K14" s="46">
        <v>75866</v>
      </c>
      <c r="L14" s="46" t="s">
        <v>65</v>
      </c>
      <c r="M14" s="47" t="s">
        <v>66</v>
      </c>
      <c r="N14" s="47" t="s">
        <v>67</v>
      </c>
      <c r="O14" s="48" t="s">
        <v>68</v>
      </c>
      <c r="P14" s="49" t="s">
        <v>69</v>
      </c>
    </row>
    <row r="15" spans="1:16" ht="12.75" customHeight="1" thickBot="1">
      <c r="A15" s="8" t="str">
        <f t="shared" si="0"/>
        <v>OEJV 0137 </v>
      </c>
      <c r="B15" s="3" t="str">
        <f t="shared" si="1"/>
        <v>I</v>
      </c>
      <c r="C15" s="8">
        <f t="shared" si="2"/>
        <v>55388.5007</v>
      </c>
      <c r="D15" s="10" t="str">
        <f t="shared" si="3"/>
        <v>vis</v>
      </c>
      <c r="E15" s="45">
        <f>VLOOKUP(C15,A!C$21:E$973,3,FALSE)</f>
        <v>-0.00010396776611453457</v>
      </c>
      <c r="F15" s="3" t="s">
        <v>54</v>
      </c>
      <c r="G15" s="10" t="str">
        <f t="shared" si="4"/>
        <v>55388.5007</v>
      </c>
      <c r="H15" s="8">
        <f t="shared" si="5"/>
        <v>78462</v>
      </c>
      <c r="I15" s="46" t="s">
        <v>70</v>
      </c>
      <c r="J15" s="47" t="s">
        <v>71</v>
      </c>
      <c r="K15" s="46" t="s">
        <v>72</v>
      </c>
      <c r="L15" s="46" t="s">
        <v>73</v>
      </c>
      <c r="M15" s="47" t="s">
        <v>66</v>
      </c>
      <c r="N15" s="47" t="s">
        <v>74</v>
      </c>
      <c r="O15" s="48" t="s">
        <v>75</v>
      </c>
      <c r="P15" s="49" t="s">
        <v>76</v>
      </c>
    </row>
    <row r="16" spans="1:16" ht="12.75" customHeight="1" thickBot="1">
      <c r="A16" s="8" t="str">
        <f t="shared" si="0"/>
        <v>BAVM 225 </v>
      </c>
      <c r="B16" s="3" t="str">
        <f t="shared" si="1"/>
        <v>I</v>
      </c>
      <c r="C16" s="8">
        <f t="shared" si="2"/>
        <v>55478.292</v>
      </c>
      <c r="D16" s="10" t="str">
        <f t="shared" si="3"/>
        <v>vis</v>
      </c>
      <c r="E16" s="45">
        <f>VLOOKUP(C16,A!C$21:E$973,3,FALSE)</f>
        <v>311.17989540844263</v>
      </c>
      <c r="F16" s="3" t="s">
        <v>54</v>
      </c>
      <c r="G16" s="10" t="str">
        <f t="shared" si="4"/>
        <v>55478.2920</v>
      </c>
      <c r="H16" s="8">
        <f t="shared" si="5"/>
        <v>78773</v>
      </c>
      <c r="I16" s="46" t="s">
        <v>77</v>
      </c>
      <c r="J16" s="47" t="s">
        <v>78</v>
      </c>
      <c r="K16" s="46" t="s">
        <v>79</v>
      </c>
      <c r="L16" s="46" t="s">
        <v>80</v>
      </c>
      <c r="M16" s="47" t="s">
        <v>66</v>
      </c>
      <c r="N16" s="47" t="s">
        <v>67</v>
      </c>
      <c r="O16" s="48" t="s">
        <v>68</v>
      </c>
      <c r="P16" s="49" t="s">
        <v>69</v>
      </c>
    </row>
    <row r="17" spans="1:16" ht="12.75" customHeight="1" thickBot="1">
      <c r="A17" s="8" t="str">
        <f t="shared" si="0"/>
        <v>BAVM 225 </v>
      </c>
      <c r="B17" s="3" t="str">
        <f t="shared" si="1"/>
        <v>I</v>
      </c>
      <c r="C17" s="8">
        <f t="shared" si="2"/>
        <v>55794.4722</v>
      </c>
      <c r="D17" s="10" t="str">
        <f t="shared" si="3"/>
        <v>vis</v>
      </c>
      <c r="E17" s="45">
        <f>VLOOKUP(C17,A!C$21:E$973,3,FALSE)</f>
        <v>1406.9314263336353</v>
      </c>
      <c r="F17" s="3" t="s">
        <v>54</v>
      </c>
      <c r="G17" s="10" t="str">
        <f t="shared" si="4"/>
        <v>55794.4722</v>
      </c>
      <c r="H17" s="8">
        <f t="shared" si="5"/>
        <v>79869</v>
      </c>
      <c r="I17" s="46" t="s">
        <v>81</v>
      </c>
      <c r="J17" s="47" t="s">
        <v>82</v>
      </c>
      <c r="K17" s="46" t="s">
        <v>83</v>
      </c>
      <c r="L17" s="46" t="s">
        <v>84</v>
      </c>
      <c r="M17" s="47" t="s">
        <v>66</v>
      </c>
      <c r="N17" s="47" t="s">
        <v>67</v>
      </c>
      <c r="O17" s="48" t="s">
        <v>68</v>
      </c>
      <c r="P17" s="49" t="s">
        <v>69</v>
      </c>
    </row>
    <row r="18" spans="1:16" ht="12.75" customHeight="1" thickBot="1">
      <c r="A18" s="8" t="str">
        <f t="shared" si="0"/>
        <v> BBS 124 </v>
      </c>
      <c r="B18" s="3" t="str">
        <f t="shared" si="1"/>
        <v>I</v>
      </c>
      <c r="C18" s="8">
        <f t="shared" si="2"/>
        <v>51867.313</v>
      </c>
      <c r="D18" s="10" t="str">
        <f t="shared" si="3"/>
        <v>vis</v>
      </c>
      <c r="E18" s="45">
        <f>VLOOKUP(C18,A!C$21:E$973,3,FALSE)</f>
        <v>-12202.999573732191</v>
      </c>
      <c r="F18" s="3" t="s">
        <v>54</v>
      </c>
      <c r="G18" s="10" t="str">
        <f t="shared" si="4"/>
        <v>51867.313</v>
      </c>
      <c r="H18" s="8">
        <f t="shared" si="5"/>
        <v>66259</v>
      </c>
      <c r="I18" s="46" t="s">
        <v>56</v>
      </c>
      <c r="J18" s="47" t="s">
        <v>57</v>
      </c>
      <c r="K18" s="46">
        <v>66259</v>
      </c>
      <c r="L18" s="46" t="s">
        <v>58</v>
      </c>
      <c r="M18" s="47" t="s">
        <v>59</v>
      </c>
      <c r="N18" s="47" t="s">
        <v>60</v>
      </c>
      <c r="O18" s="48" t="s">
        <v>61</v>
      </c>
      <c r="P18" s="48" t="s">
        <v>62</v>
      </c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</sheetData>
  <sheetProtection/>
  <hyperlinks>
    <hyperlink ref="P14" r:id="rId1" display="http://www.bav-astro.de/sfs/BAVM_link.php?BAVMnr=225"/>
    <hyperlink ref="P15" r:id="rId2" display="http://var.astro.cz/oejv/issues/oejv0137.pdf"/>
    <hyperlink ref="P16" r:id="rId3" display="http://www.bav-astro.de/sfs/BAVM_link.php?BAVMnr=225"/>
    <hyperlink ref="P17" r:id="rId4" display="http://www.bav-astro.de/sfs/BAVM_link.php?BAVMnr=225"/>
    <hyperlink ref="P12" r:id="rId5" display="http://var.astro.cz/oejv/issues/oejv0160.pdf"/>
    <hyperlink ref="P13" r:id="rId6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