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550" windowHeight="133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<sst xmlns="http://schemas.openxmlformats.org/spreadsheetml/2006/main" count="251" uniqueCount="134">
  <si>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</si>
  <si>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</si>
  <si>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</si>
  <si>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</si>
  <si>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</si>
  <si>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</si>
  <si>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</si>
  <si>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</si>
  <si>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</si>
  <si>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</si>
  <si>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</si>
  <si>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</si>
  <si>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</si>
  <si>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</si>
  <si>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</si>
  <si>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</si>
  <si>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</si>
  <si>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</si>
  <si>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</si>
  <si>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</si>
  <si>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</si>
  <si>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</si>
  <si>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</si>
  <si>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</si>
  <si>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</si>
  <si>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</si>
  <si>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</si>
  <si>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</si>
  <si>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</t>
  </si>
  <si>
    <t>IBVS 5643</t>
  </si>
  <si>
    <t># of data points:</t>
  </si>
  <si>
    <t>V1009 Cyg / gsc 2669-0844</t>
  </si>
  <si>
    <t>IBVS 5731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</si>
  <si>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</si>
  <si>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</si>
  <si>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</si>
  <si>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</si>
  <si>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</si>
  <si>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</si>
  <si>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</si>
  <si>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</si>
  <si>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OEJV 0137</t>
  </si>
  <si>
    <t>I</t>
  </si>
  <si>
    <t>IBVS 6070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</si>
  <si>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</si>
  <si>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</si>
  <si>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</si>
  <si>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</si>
  <si>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</si>
  <si>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</si>
  <si>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</si>
  <si>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</si>
  <si>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</si>
  <si>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</si>
  <si>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</si>
  <si>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</si>
  <si>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</si>
  <si>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2426162.748 </t>
  </si>
  <si>
    <t> 05.07.1930 05:57 </t>
  </si>
  <si>
    <t> -0.012 </t>
  </si>
  <si>
    <t>P </t>
  </si>
  <si>
    <t> Miller &amp; Wachmann </t>
  </si>
  <si>
    <t> RIA 6.378 </t>
  </si>
  <si>
    <t>2432762.370 </t>
  </si>
  <si>
    <t> 29.07.1948 20:52 </t>
  </si>
  <si>
    <t> 0.005 </t>
  </si>
  <si>
    <t>2433534.307 </t>
  </si>
  <si>
    <t> 09.09.1950 19:22 </t>
  </si>
  <si>
    <t> -0.005 </t>
  </si>
  <si>
    <t>2433751.765 </t>
  </si>
  <si>
    <t> 15.04.1951 06:21 </t>
  </si>
  <si>
    <t> 0.003 </t>
  </si>
  <si>
    <t>2434121.470 </t>
  </si>
  <si>
    <t> 18.04.1952 23:16 </t>
  </si>
  <si>
    <t> 0.043 </t>
  </si>
  <si>
    <t>2434355.174 </t>
  </si>
  <si>
    <t> 08.12.1952 16:10 </t>
  </si>
  <si>
    <t> -0.011 </t>
  </si>
  <si>
    <t>2434681.347 </t>
  </si>
  <si>
    <t> 30.10.1953 20:19 </t>
  </si>
  <si>
    <t> -0.013 </t>
  </si>
  <si>
    <t>2434920.556 </t>
  </si>
  <si>
    <t> 27.06.1954 01:20 </t>
  </si>
  <si>
    <t> 0.001 </t>
  </si>
  <si>
    <t>2435170.632 </t>
  </si>
  <si>
    <t> 04.03.1955 03:10 </t>
  </si>
  <si>
    <t> 0.010 </t>
  </si>
  <si>
    <t>2435317.378 </t>
  </si>
  <si>
    <t> 28.07.1955 21:04 </t>
  </si>
  <si>
    <t> -0.023 </t>
  </si>
  <si>
    <t>2435453.350 </t>
  </si>
  <si>
    <t> 11.12.1955 20:24 </t>
  </si>
  <si>
    <t>2436850.415 </t>
  </si>
  <si>
    <t> 08.10.1959 21:57 </t>
  </si>
  <si>
    <t> -0.008 </t>
  </si>
  <si>
    <t>2437198.310 </t>
  </si>
  <si>
    <t> 20.09.1960 19:26 </t>
  </si>
  <si>
    <t> -0.033 </t>
  </si>
  <si>
    <t>2452789.4882 </t>
  </si>
  <si>
    <t> 29.05.2003 23:43 </t>
  </si>
  <si>
    <t> -0.0119 </t>
  </si>
  <si>
    <t>E </t>
  </si>
  <si>
    <t>-I</t>
  </si>
  <si>
    <t> K. &amp; M. Rätz </t>
  </si>
  <si>
    <t>BAVM 172 </t>
  </si>
  <si>
    <t>2453659.2835 </t>
  </si>
  <si>
    <t> 15.10.2005 18:48 </t>
  </si>
  <si>
    <t>3584</t>
  </si>
  <si>
    <t> -0.0162 </t>
  </si>
  <si>
    <t>C </t>
  </si>
  <si>
    <t> Agerer </t>
  </si>
  <si>
    <t>BAVM 178 </t>
  </si>
  <si>
    <t>2455045.5342 </t>
  </si>
  <si>
    <t> 02.08.2009 00:49 </t>
  </si>
  <si>
    <t>3839</t>
  </si>
  <si>
    <t> -0.0086 </t>
  </si>
  <si>
    <t>R</t>
  </si>
  <si>
    <t> F.Lomoz </t>
  </si>
  <si>
    <t>OEJV 0137 </t>
  </si>
  <si>
    <t>2455355.4007 </t>
  </si>
  <si>
    <t> 07.06.2010 21:37 </t>
  </si>
  <si>
    <t>3896</t>
  </si>
  <si>
    <t> -0.0082 </t>
  </si>
  <si>
    <t>2455393.4551 </t>
  </si>
  <si>
    <t> 15.07.2010 22:55 </t>
  </si>
  <si>
    <t>3903</t>
  </si>
  <si>
    <t> -0.0075 </t>
  </si>
  <si>
    <t> F.Agerer </t>
  </si>
  <si>
    <t>BAVM 215 </t>
  </si>
  <si>
    <t>2456203.4553 </t>
  </si>
  <si>
    <t> 02.10.2012 22:55 </t>
  </si>
  <si>
    <t>4052</t>
  </si>
  <si>
    <t>BAVM 231 </t>
  </si>
  <si>
    <t>VSB 067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</si>
</sst>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V1009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0.0009</c:v>
                  </c:pt>
                  <c:pt idx="15">
                    <c:v>0.0004</c:v>
                  </c:pt>
                  <c:pt idx="16">
                    <c:v>0.0016</c:v>
                  </c:pt>
                  <c:pt idx="17">
                    <c:v>0.0016</c:v>
                  </c:pt>
                  <c:pt idx="18">
                    <c:v>0.0032</c:v>
                  </c:pt>
                  <c:pt idx="19">
                    <c:v>0.0029</c:v>
                  </c:pt>
                  <c:pt idx="20">
                    <c:v>0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axId val="39865487"/>
        <c:axId val="23245064"/>
      </c:scatterChart>
      <c:valAx>
        <c:axId val="3986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crossBetween val="midCat"/>
        <c:dispUnits/>
      </c:valAx>
      <c:valAx>
        <c:axId val="2324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654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361950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6247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2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var.astro.cz/oejv/issues/oejv0137.pdf" TargetMode="External" /><Relationship Id="rId4" Type="http://schemas.openxmlformats.org/officeDocument/2006/relationships/hyperlink" Target="http://var.astro.cz/oejv/issues/oejv0137.pdf" TargetMode="External" /><Relationship Id="rId5" Type="http://schemas.openxmlformats.org/officeDocument/2006/relationships/hyperlink" Target="http://www.bav-astro.de/sfs/BAVM_link.php?BAVMnr=215" TargetMode="External" /><Relationship Id="rId6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spans="1:2" ht="12.75">
      <c r="A2" t="s">
        <v>24</v>
      </c>
      <c r="B2" s="5" t="s">
        <v>28</v>
      </c>
    </row>
    <row r="3" ht="13.5" thickBot="1"/>
    <row r="4" spans="1:4" ht="14.25" thickBot="1" thickTop="1">
      <c r="A4" s="7" t="s">
        <v>0</v>
      </c>
      <c r="C4" s="3">
        <v>34175.789</v>
      </c>
      <c r="D4" s="4">
        <v>5.4362474</v>
      </c>
    </row>
    <row r="5" spans="1:4" ht="13.5" thickTop="1">
      <c r="A5" s="13" t="s">
        <v>33</v>
      </c>
      <c r="B5" s="49"/>
      <c r="C5" s="14">
        <v>-9.5</v>
      </c>
      <c r="D5" s="11" t="s">
        <v>34</v>
      </c>
    </row>
    <row r="6" ht="12.75">
      <c r="A6" s="7" t="s">
        <v>1</v>
      </c>
    </row>
    <row r="7" spans="1:3" ht="12.75">
      <c r="A7" t="s">
        <v>2</v>
      </c>
      <c r="C7">
        <f>+C4</f>
        <v>34175.789</v>
      </c>
    </row>
    <row r="8" spans="1:3" ht="12.75">
      <c r="A8" t="s">
        <v>3</v>
      </c>
      <c r="C8">
        <f>+D4</f>
        <v>5.4362474</v>
      </c>
    </row>
    <row r="9" spans="1:4" ht="12.75">
      <c r="A9" s="27" t="s">
        <v>40</v>
      </c>
      <c r="B9" s="28">
        <v>35</v>
      </c>
      <c r="C9" s="16" t="str">
        <f>"F"&amp;B9</f>
        <v>F35</v>
      </c>
      <c r="D9" s="17" t="str">
        <f>"G"&amp;B9</f>
        <v>G35</v>
      </c>
    </row>
    <row r="10" spans="1:5" ht="13.5" thickBot="1">
      <c r="A10" s="11"/>
      <c r="B10" s="49"/>
      <c r="C10" s="6" t="s">
        <v>20</v>
      </c>
      <c r="D10" s="6" t="s">
        <v>21</v>
      </c>
      <c r="E10" s="11"/>
    </row>
    <row r="11" spans="1:5" ht="12.75">
      <c r="A11" s="11" t="s">
        <v>16</v>
      </c>
      <c r="B11" s="49"/>
      <c r="C11" s="15">
        <f ca="1">INTERCEPT(INDIRECT($D$9):G990,INDIRECT($C$9):F990)</f>
        <v>-0.049156575948182575</v>
      </c>
      <c r="D11" s="5"/>
      <c r="E11" s="11"/>
    </row>
    <row r="12" spans="1:5" ht="12.75">
      <c r="A12" s="11" t="s">
        <v>17</v>
      </c>
      <c r="B12" s="49"/>
      <c r="C12" s="15">
        <f ca="1">SLOPE(INDIRECT($D$9):G990,INDIRECT($C$9):F990)</f>
        <v>1.0319075033177075E-05</v>
      </c>
      <c r="D12" s="5"/>
      <c r="E12" s="11"/>
    </row>
    <row r="13" spans="1:3" ht="12.75">
      <c r="A13" s="11" t="s">
        <v>19</v>
      </c>
      <c r="B13" s="49"/>
      <c r="C13" s="5" t="s">
        <v>14</v>
      </c>
    </row>
    <row r="14" spans="1:3" ht="12.75">
      <c r="A14" s="11"/>
      <c r="B14" s="49"/>
      <c r="C14" s="11"/>
    </row>
    <row r="15" spans="1:6" ht="12.75">
      <c r="A15" s="20" t="s">
        <v>18</v>
      </c>
      <c r="B15" s="49"/>
      <c r="C15" s="21">
        <f>(C7+C11)+(C8+C12)*INT(MAX(F21:F3531))</f>
        <v>58704.1346718906</v>
      </c>
      <c r="E15" s="18" t="s">
        <v>35</v>
      </c>
      <c r="F15" s="14">
        <v>1</v>
      </c>
    </row>
    <row r="16" spans="1:6" ht="12.75">
      <c r="A16" s="22" t="s">
        <v>4</v>
      </c>
      <c r="B16" s="49"/>
      <c r="C16" s="23">
        <f>+C8+C12</f>
        <v>5.436257719075034</v>
      </c>
      <c r="E16" s="18" t="s">
        <v>36</v>
      </c>
      <c r="F16" s="19">
        <f ca="1">NOW()+15018.5+$C$5/24</f>
        <v>59896.83442280092</v>
      </c>
    </row>
    <row r="17" spans="1:6" ht="13.5" thickBot="1">
      <c r="A17" s="18" t="s">
        <v>30</v>
      </c>
      <c r="B17" s="49"/>
      <c r="C17" s="11">
        <f>COUNT(C21:C2189)</f>
        <v>21</v>
      </c>
      <c r="E17" s="18" t="s">
        <v>37</v>
      </c>
      <c r="F17" s="19">
        <f>ROUND(2*(F16-$C$7)/$C$8,0)/2+F15</f>
        <v>4732.5</v>
      </c>
    </row>
    <row r="18" spans="1:6" ht="14.25" thickBot="1" thickTop="1">
      <c r="A18" s="22" t="s">
        <v>5</v>
      </c>
      <c r="B18" s="49"/>
      <c r="C18" s="25">
        <f>+C15</f>
        <v>58704.1346718906</v>
      </c>
      <c r="D18" s="26">
        <f>+C16</f>
        <v>5.436257719075034</v>
      </c>
      <c r="E18" s="18" t="s">
        <v>38</v>
      </c>
      <c r="F18" s="17">
        <f>ROUND(2*(F16-$C$15)/$C$16,0)/2+F15</f>
        <v>220.5</v>
      </c>
    </row>
    <row r="19" spans="5:6" ht="13.5" thickTop="1">
      <c r="E19" s="18" t="s">
        <v>39</v>
      </c>
      <c r="F19" s="24">
        <f>+$C$15+$C$16*F18-15018.5-$C$5/24</f>
        <v>44884.72533227998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52</v>
      </c>
      <c r="I20" s="9" t="s">
        <v>55</v>
      </c>
      <c r="J20" s="9" t="s">
        <v>49</v>
      </c>
      <c r="K20" s="9" t="s">
        <v>47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s="48" t="s">
        <v>62</v>
      </c>
      <c r="B21" s="52" t="s">
        <v>42</v>
      </c>
      <c r="C21" s="48">
        <v>26162.748</v>
      </c>
      <c r="D21" s="48" t="s">
        <v>55</v>
      </c>
      <c r="E21">
        <f aca="true" t="shared" si="0" ref="E21:E40">+(C21-C$7)/C$8</f>
        <v>-1474.0022685501763</v>
      </c>
      <c r="F21">
        <f aca="true" t="shared" si="1" ref="F21:F41">ROUND(2*E21,0)/2</f>
        <v>-1474</v>
      </c>
      <c r="G21">
        <f aca="true" t="shared" si="2" ref="G21:G40">+C21-(C$7+F21*C$8)</f>
        <v>-0.01233239999783109</v>
      </c>
      <c r="I21">
        <f>+G21</f>
        <v>-0.01233239999783109</v>
      </c>
      <c r="O21">
        <f aca="true" t="shared" si="3" ref="O21:O40">+C$11+C$12*$F21</f>
        <v>-0.06436689254708558</v>
      </c>
      <c r="Q21" s="2">
        <f aca="true" t="shared" si="4" ref="Q21:Q40">+C21-15018.5</f>
        <v>11144.248</v>
      </c>
    </row>
    <row r="22" spans="1:17" ht="12.75">
      <c r="A22" s="48" t="s">
        <v>62</v>
      </c>
      <c r="B22" s="52" t="s">
        <v>42</v>
      </c>
      <c r="C22" s="48">
        <v>32762.37</v>
      </c>
      <c r="D22" s="48" t="s">
        <v>55</v>
      </c>
      <c r="E22">
        <f t="shared" si="0"/>
        <v>-259.9990206479562</v>
      </c>
      <c r="F22">
        <f t="shared" si="1"/>
        <v>-260</v>
      </c>
      <c r="G22">
        <f t="shared" si="2"/>
        <v>0.005324000001564855</v>
      </c>
      <c r="I22">
        <f>+G22</f>
        <v>0.005324000001564855</v>
      </c>
      <c r="O22">
        <f t="shared" si="3"/>
        <v>-0.05183953545680862</v>
      </c>
      <c r="Q22" s="2">
        <f t="shared" si="4"/>
        <v>17743.87</v>
      </c>
    </row>
    <row r="23" spans="1:17" ht="12.75">
      <c r="A23" s="48" t="s">
        <v>62</v>
      </c>
      <c r="B23" s="52" t="s">
        <v>42</v>
      </c>
      <c r="C23" s="48">
        <v>33534.307</v>
      </c>
      <c r="D23" s="48" t="s">
        <v>55</v>
      </c>
      <c r="E23">
        <f t="shared" si="0"/>
        <v>-118.00088421288486</v>
      </c>
      <c r="F23">
        <f t="shared" si="1"/>
        <v>-118</v>
      </c>
      <c r="G23">
        <f t="shared" si="2"/>
        <v>-0.004806799996003974</v>
      </c>
      <c r="I23">
        <f>+G23</f>
        <v>-0.004806799996003974</v>
      </c>
      <c r="O23">
        <f t="shared" si="3"/>
        <v>-0.05037422680209747</v>
      </c>
      <c r="Q23" s="2">
        <f t="shared" si="4"/>
        <v>18515.807</v>
      </c>
    </row>
    <row r="24" spans="1:17" ht="12.75">
      <c r="A24" s="48" t="s">
        <v>62</v>
      </c>
      <c r="B24" s="52" t="s">
        <v>42</v>
      </c>
      <c r="C24" s="48">
        <v>33751.765</v>
      </c>
      <c r="D24" s="48" t="s">
        <v>55</v>
      </c>
      <c r="E24">
        <f t="shared" si="0"/>
        <v>-77.99939347867016</v>
      </c>
      <c r="F24">
        <f t="shared" si="1"/>
        <v>-78</v>
      </c>
      <c r="G24">
        <f t="shared" si="2"/>
        <v>0.003297200004453771</v>
      </c>
      <c r="I24">
        <f>+G24</f>
        <v>0.003297200004453771</v>
      </c>
      <c r="O24">
        <f t="shared" si="3"/>
        <v>-0.049961463800770385</v>
      </c>
      <c r="Q24" s="2">
        <f t="shared" si="4"/>
        <v>18733.265</v>
      </c>
    </row>
    <row r="25" spans="1:17" ht="12.75">
      <c r="A25" s="48" t="s">
        <v>62</v>
      </c>
      <c r="B25" s="52" t="s">
        <v>42</v>
      </c>
      <c r="C25" s="48">
        <v>34121.47</v>
      </c>
      <c r="D25" s="48" t="s">
        <v>55</v>
      </c>
      <c r="E25">
        <f t="shared" si="0"/>
        <v>-9.992002939379812</v>
      </c>
      <c r="F25">
        <f t="shared" si="1"/>
        <v>-10</v>
      </c>
      <c r="G25">
        <f t="shared" si="2"/>
        <v>0.043474000005517155</v>
      </c>
      <c r="I25">
        <f>+G25</f>
        <v>0.043474000005517155</v>
      </c>
      <c r="O25">
        <f t="shared" si="3"/>
        <v>-0.04925976669851435</v>
      </c>
      <c r="Q25" s="2">
        <f t="shared" si="4"/>
        <v>19102.97</v>
      </c>
    </row>
    <row r="26" spans="1:17" ht="12.75">
      <c r="A26" t="s">
        <v>12</v>
      </c>
      <c r="C26" s="12">
        <v>34175.789</v>
      </c>
      <c r="D26" s="12" t="s">
        <v>14</v>
      </c>
      <c r="E26">
        <f t="shared" si="0"/>
        <v>0</v>
      </c>
      <c r="F26">
        <f t="shared" si="1"/>
        <v>0</v>
      </c>
      <c r="G26">
        <f t="shared" si="2"/>
        <v>0</v>
      </c>
      <c r="H26">
        <v>0</v>
      </c>
      <c r="O26">
        <f t="shared" si="3"/>
        <v>-0.049156575948182575</v>
      </c>
      <c r="Q26" s="2">
        <f t="shared" si="4"/>
        <v>19157.288999999997</v>
      </c>
    </row>
    <row r="27" spans="1:17" ht="12.75">
      <c r="A27" s="48" t="s">
        <v>62</v>
      </c>
      <c r="B27" s="52" t="s">
        <v>42</v>
      </c>
      <c r="C27" s="48">
        <v>34355.174</v>
      </c>
      <c r="D27" s="48" t="s">
        <v>55</v>
      </c>
      <c r="E27">
        <f t="shared" si="0"/>
        <v>32.997946340705916</v>
      </c>
      <c r="F27">
        <f t="shared" si="1"/>
        <v>33</v>
      </c>
      <c r="G27">
        <f t="shared" si="2"/>
        <v>-0.011164199997438118</v>
      </c>
      <c r="I27">
        <f aca="true" t="shared" si="5" ref="I27:I34">+G27</f>
        <v>-0.011164199997438118</v>
      </c>
      <c r="O27">
        <f t="shared" si="3"/>
        <v>-0.04881604647208773</v>
      </c>
      <c r="Q27" s="2">
        <f t="shared" si="4"/>
        <v>19336.674</v>
      </c>
    </row>
    <row r="28" spans="1:17" ht="12.75">
      <c r="A28" s="48" t="s">
        <v>62</v>
      </c>
      <c r="B28" s="52" t="s">
        <v>42</v>
      </c>
      <c r="C28" s="48">
        <v>34681.347</v>
      </c>
      <c r="D28" s="48" t="s">
        <v>55</v>
      </c>
      <c r="E28">
        <f t="shared" si="0"/>
        <v>92.99760713612933</v>
      </c>
      <c r="F28">
        <f t="shared" si="1"/>
        <v>93</v>
      </c>
      <c r="G28">
        <f t="shared" si="2"/>
        <v>-0.013008199995965697</v>
      </c>
      <c r="I28">
        <f t="shared" si="5"/>
        <v>-0.013008199995965697</v>
      </c>
      <c r="O28">
        <f t="shared" si="3"/>
        <v>-0.04819690197009711</v>
      </c>
      <c r="Q28" s="2">
        <f t="shared" si="4"/>
        <v>19662.847</v>
      </c>
    </row>
    <row r="29" spans="1:17" ht="12.75">
      <c r="A29" s="48" t="s">
        <v>62</v>
      </c>
      <c r="B29" s="52" t="s">
        <v>42</v>
      </c>
      <c r="C29" s="48">
        <v>34920.556</v>
      </c>
      <c r="D29" s="48" t="s">
        <v>55</v>
      </c>
      <c r="E29">
        <f t="shared" si="0"/>
        <v>137.0002034859561</v>
      </c>
      <c r="F29">
        <f t="shared" si="1"/>
        <v>137</v>
      </c>
      <c r="G29">
        <f t="shared" si="2"/>
        <v>0.0011061999975936487</v>
      </c>
      <c r="I29">
        <f t="shared" si="5"/>
        <v>0.0011061999975936487</v>
      </c>
      <c r="O29">
        <f t="shared" si="3"/>
        <v>-0.047742862668637316</v>
      </c>
      <c r="Q29" s="2">
        <f t="shared" si="4"/>
        <v>19902.055999999997</v>
      </c>
    </row>
    <row r="30" spans="1:17" ht="12.75">
      <c r="A30" s="48" t="s">
        <v>62</v>
      </c>
      <c r="B30" s="52" t="s">
        <v>42</v>
      </c>
      <c r="C30" s="48">
        <v>35170.632</v>
      </c>
      <c r="D30" s="48" t="s">
        <v>55</v>
      </c>
      <c r="E30">
        <f t="shared" si="0"/>
        <v>183.00178906500847</v>
      </c>
      <c r="F30">
        <f t="shared" si="1"/>
        <v>183</v>
      </c>
      <c r="G30">
        <f t="shared" si="2"/>
        <v>0.009725800002343021</v>
      </c>
      <c r="I30">
        <f t="shared" si="5"/>
        <v>0.009725800002343021</v>
      </c>
      <c r="O30">
        <f t="shared" si="3"/>
        <v>-0.047268185217111174</v>
      </c>
      <c r="Q30" s="2">
        <f t="shared" si="4"/>
        <v>20152.131999999998</v>
      </c>
    </row>
    <row r="31" spans="1:17" ht="12.75">
      <c r="A31" s="48" t="s">
        <v>62</v>
      </c>
      <c r="B31" s="52" t="s">
        <v>42</v>
      </c>
      <c r="C31" s="48">
        <v>35317.378</v>
      </c>
      <c r="D31" s="48" t="s">
        <v>55</v>
      </c>
      <c r="E31">
        <f t="shared" si="0"/>
        <v>209.99577760202743</v>
      </c>
      <c r="F31">
        <f t="shared" si="1"/>
        <v>210</v>
      </c>
      <c r="G31">
        <f t="shared" si="2"/>
        <v>-0.02295400000002701</v>
      </c>
      <c r="I31">
        <f t="shared" si="5"/>
        <v>-0.02295400000002701</v>
      </c>
      <c r="O31">
        <f t="shared" si="3"/>
        <v>-0.04698957019121539</v>
      </c>
      <c r="Q31" s="2">
        <f t="shared" si="4"/>
        <v>20298.877999999997</v>
      </c>
    </row>
    <row r="32" spans="1:17" ht="12.75">
      <c r="A32" s="48" t="s">
        <v>62</v>
      </c>
      <c r="B32" s="52" t="s">
        <v>42</v>
      </c>
      <c r="C32" s="48">
        <v>35453.35</v>
      </c>
      <c r="D32" s="48" t="s">
        <v>55</v>
      </c>
      <c r="E32">
        <f t="shared" si="0"/>
        <v>235.00788429901138</v>
      </c>
      <c r="F32">
        <f t="shared" si="1"/>
        <v>235</v>
      </c>
      <c r="G32">
        <f t="shared" si="2"/>
        <v>0.04286100000172155</v>
      </c>
      <c r="I32">
        <f t="shared" si="5"/>
        <v>0.04286100000172155</v>
      </c>
      <c r="O32">
        <f t="shared" si="3"/>
        <v>-0.04673159331538596</v>
      </c>
      <c r="Q32" s="2">
        <f t="shared" si="4"/>
        <v>20434.85</v>
      </c>
    </row>
    <row r="33" spans="1:17" ht="12.75">
      <c r="A33" s="48" t="s">
        <v>62</v>
      </c>
      <c r="B33" s="52" t="s">
        <v>42</v>
      </c>
      <c r="C33" s="48">
        <v>36850.415</v>
      </c>
      <c r="D33" s="48" t="s">
        <v>55</v>
      </c>
      <c r="E33">
        <f t="shared" si="0"/>
        <v>491.99857975558723</v>
      </c>
      <c r="F33">
        <f t="shared" si="1"/>
        <v>492</v>
      </c>
      <c r="G33">
        <f t="shared" si="2"/>
        <v>-0.007720799992966931</v>
      </c>
      <c r="I33">
        <f t="shared" si="5"/>
        <v>-0.007720799992966931</v>
      </c>
      <c r="O33">
        <f t="shared" si="3"/>
        <v>-0.044079591031859454</v>
      </c>
      <c r="Q33" s="2">
        <f t="shared" si="4"/>
        <v>21831.915</v>
      </c>
    </row>
    <row r="34" spans="1:17" ht="12.75">
      <c r="A34" s="48" t="s">
        <v>62</v>
      </c>
      <c r="B34" s="52" t="s">
        <v>42</v>
      </c>
      <c r="C34" s="48">
        <v>37198.31</v>
      </c>
      <c r="D34" s="48" t="s">
        <v>55</v>
      </c>
      <c r="E34">
        <f t="shared" si="0"/>
        <v>555.9940116044021</v>
      </c>
      <c r="F34">
        <f t="shared" si="1"/>
        <v>556</v>
      </c>
      <c r="G34">
        <f t="shared" si="2"/>
        <v>-0.03255440000066301</v>
      </c>
      <c r="I34">
        <f t="shared" si="5"/>
        <v>-0.03255440000066301</v>
      </c>
      <c r="O34">
        <f t="shared" si="3"/>
        <v>-0.04341917022973612</v>
      </c>
      <c r="Q34" s="2">
        <f t="shared" si="4"/>
        <v>22179.809999999998</v>
      </c>
    </row>
    <row r="35" spans="1:17" ht="12.75">
      <c r="A35" s="10" t="s">
        <v>29</v>
      </c>
      <c r="B35" s="50"/>
      <c r="C35" s="29">
        <v>52789.4882</v>
      </c>
      <c r="D35" s="29">
        <v>0.0009</v>
      </c>
      <c r="E35">
        <f t="shared" si="0"/>
        <v>3423.9978114314667</v>
      </c>
      <c r="F35">
        <f t="shared" si="1"/>
        <v>3424</v>
      </c>
      <c r="G35">
        <f t="shared" si="2"/>
        <v>-0.011897600001248065</v>
      </c>
      <c r="J35">
        <f>+G35</f>
        <v>-0.011897600001248065</v>
      </c>
      <c r="O35">
        <f t="shared" si="3"/>
        <v>-0.01382406303458427</v>
      </c>
      <c r="Q35" s="2">
        <f t="shared" si="4"/>
        <v>37770.9882</v>
      </c>
    </row>
    <row r="36" spans="1:17" ht="12.75">
      <c r="A36" s="11" t="s">
        <v>32</v>
      </c>
      <c r="B36" s="50"/>
      <c r="C36" s="12">
        <v>53659.2835</v>
      </c>
      <c r="D36" s="12">
        <v>0.0004</v>
      </c>
      <c r="E36">
        <f t="shared" si="0"/>
        <v>3583.997023387861</v>
      </c>
      <c r="F36">
        <f t="shared" si="1"/>
        <v>3584</v>
      </c>
      <c r="G36">
        <f t="shared" si="2"/>
        <v>-0.01618159999634372</v>
      </c>
      <c r="J36">
        <f>+G36</f>
        <v>-0.01618159999634372</v>
      </c>
      <c r="O36">
        <f t="shared" si="3"/>
        <v>-0.01217301102927594</v>
      </c>
      <c r="Q36" s="2">
        <f t="shared" si="4"/>
        <v>38640.7835</v>
      </c>
    </row>
    <row r="37" spans="1:17" ht="12.75">
      <c r="A37" s="30" t="s">
        <v>41</v>
      </c>
      <c r="B37" s="31" t="s">
        <v>42</v>
      </c>
      <c r="C37" s="32">
        <v>55045.5342</v>
      </c>
      <c r="D37" s="32">
        <v>0.0016</v>
      </c>
      <c r="E37">
        <f t="shared" si="0"/>
        <v>3838.9984238024203</v>
      </c>
      <c r="F37">
        <f t="shared" si="1"/>
        <v>3839</v>
      </c>
      <c r="G37">
        <f t="shared" si="2"/>
        <v>-0.008568599994760007</v>
      </c>
      <c r="K37">
        <f>+G37</f>
        <v>-0.008568599994760007</v>
      </c>
      <c r="O37">
        <f t="shared" si="3"/>
        <v>-0.009541646895815784</v>
      </c>
      <c r="Q37" s="2">
        <f t="shared" si="4"/>
        <v>40027.0342</v>
      </c>
    </row>
    <row r="38" spans="1:17" ht="12.75">
      <c r="A38" s="30" t="s">
        <v>41</v>
      </c>
      <c r="B38" s="31" t="s">
        <v>42</v>
      </c>
      <c r="C38" s="32">
        <v>55355.40074</v>
      </c>
      <c r="D38" s="32">
        <v>0.0016</v>
      </c>
      <c r="E38">
        <f t="shared" si="0"/>
        <v>3895.9985044094938</v>
      </c>
      <c r="F38">
        <f t="shared" si="1"/>
        <v>3896</v>
      </c>
      <c r="G38">
        <f t="shared" si="2"/>
        <v>-0.008130400005029514</v>
      </c>
      <c r="K38">
        <f>+G38</f>
        <v>-0.008130400005029514</v>
      </c>
      <c r="O38">
        <f t="shared" si="3"/>
        <v>-0.008953459618924693</v>
      </c>
      <c r="Q38" s="2">
        <f t="shared" si="4"/>
        <v>40336.90074</v>
      </c>
    </row>
    <row r="39" spans="1:17" ht="12.75">
      <c r="A39" s="33" t="s">
        <v>44</v>
      </c>
      <c r="B39" s="51"/>
      <c r="C39" s="34">
        <v>55393.4551</v>
      </c>
      <c r="D39" s="34">
        <v>0.0032</v>
      </c>
      <c r="E39">
        <f t="shared" si="0"/>
        <v>3902.998619967149</v>
      </c>
      <c r="F39">
        <f t="shared" si="1"/>
        <v>3903</v>
      </c>
      <c r="G39">
        <f t="shared" si="2"/>
        <v>-0.007502200001908932</v>
      </c>
      <c r="J39">
        <f>+G39</f>
        <v>-0.007502200001908932</v>
      </c>
      <c r="O39">
        <f t="shared" si="3"/>
        <v>-0.008881226093692449</v>
      </c>
      <c r="Q39" s="2">
        <f t="shared" si="4"/>
        <v>40374.9551</v>
      </c>
    </row>
    <row r="40" spans="1:17" ht="12.75">
      <c r="A40" s="30" t="s">
        <v>43</v>
      </c>
      <c r="B40" s="31" t="s">
        <v>42</v>
      </c>
      <c r="C40" s="32">
        <v>56203.4553</v>
      </c>
      <c r="D40" s="32">
        <v>0.0029</v>
      </c>
      <c r="E40">
        <f t="shared" si="0"/>
        <v>4051.9984980816002</v>
      </c>
      <c r="F40">
        <f t="shared" si="1"/>
        <v>4052</v>
      </c>
      <c r="G40">
        <f t="shared" si="2"/>
        <v>-0.008164799990481697</v>
      </c>
      <c r="J40">
        <f>+G40</f>
        <v>-0.008164799990481697</v>
      </c>
      <c r="O40">
        <f t="shared" si="3"/>
        <v>-0.007343683913749066</v>
      </c>
      <c r="Q40" s="2">
        <f t="shared" si="4"/>
        <v>41184.9553</v>
      </c>
    </row>
    <row r="41" spans="1:17" ht="12.75">
      <c r="A41" s="53" t="s">
        <v>133</v>
      </c>
      <c r="B41" s="54" t="s">
        <v>42</v>
      </c>
      <c r="C41" s="55">
        <v>58704.1344</v>
      </c>
      <c r="D41" s="55" t="s">
        <v>54</v>
      </c>
      <c r="E41">
        <f>+(C41-C$7)/C$8</f>
        <v>4511.999472283032</v>
      </c>
      <c r="F41">
        <f t="shared" si="1"/>
        <v>4512</v>
      </c>
      <c r="G41">
        <f>+C41-(C$7+F41*C$8)</f>
        <v>-0.0028687999947578646</v>
      </c>
      <c r="K41">
        <f>+G41</f>
        <v>-0.0028687999947578646</v>
      </c>
      <c r="O41">
        <f>+C$11+C$12*$F41</f>
        <v>-0.0025969093984876124</v>
      </c>
      <c r="Q41" s="2">
        <f>+C41-15018.5</f>
        <v>43685.6344</v>
      </c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</sheetData>
  <sheetProtection/>
  <protectedRanges>
    <protectedRange sqref="A41:D41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2"/>
  <sheetViews>
    <sheetView zoomScalePageLayoutView="0" workbookViewId="0" topLeftCell="A6">
      <selection activeCell="A16" sqref="A16:D29"/>
    </sheetView>
  </sheetViews>
  <sheetFormatPr defaultColWidth="9.140625" defaultRowHeight="12.75"/>
  <cols>
    <col min="1" max="1" width="19.7109375" style="12" customWidth="1"/>
    <col min="2" max="2" width="4.421875" style="11" customWidth="1"/>
    <col min="3" max="3" width="12.7109375" style="12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2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35" t="s">
        <v>45</v>
      </c>
      <c r="I1" s="36" t="s">
        <v>46</v>
      </c>
      <c r="J1" s="37" t="s">
        <v>47</v>
      </c>
    </row>
    <row r="2" spans="9:10" ht="12.75">
      <c r="I2" s="38" t="s">
        <v>48</v>
      </c>
      <c r="J2" s="39" t="s">
        <v>49</v>
      </c>
    </row>
    <row r="3" spans="1:10" ht="12.75">
      <c r="A3" s="40" t="s">
        <v>50</v>
      </c>
      <c r="I3" s="38" t="s">
        <v>51</v>
      </c>
      <c r="J3" s="39" t="s">
        <v>52</v>
      </c>
    </row>
    <row r="4" spans="9:10" ht="12.75">
      <c r="I4" s="38" t="s">
        <v>53</v>
      </c>
      <c r="J4" s="39" t="s">
        <v>52</v>
      </c>
    </row>
    <row r="5" spans="9:10" ht="13.5" thickBot="1">
      <c r="I5" s="41" t="s">
        <v>54</v>
      </c>
      <c r="J5" s="42" t="s">
        <v>55</v>
      </c>
    </row>
    <row r="10" ht="13.5" thickBot="1"/>
    <row r="11" spans="1:16" ht="12.75" customHeight="1" thickBot="1">
      <c r="A11" s="12" t="str">
        <f aca="true" t="shared" si="0" ref="A11:A29">P11</f>
        <v>BAVM 172 </v>
      </c>
      <c r="B11" s="5" t="str">
        <f aca="true" t="shared" si="1" ref="B11:B29">IF(H11=INT(H11),"I","II")</f>
        <v>I</v>
      </c>
      <c r="C11" s="12">
        <f aca="true" t="shared" si="2" ref="C11:C29">1*G11</f>
        <v>52789.4882</v>
      </c>
      <c r="D11" s="11" t="str">
        <f aca="true" t="shared" si="3" ref="D11:D29">VLOOKUP(F11,I$1:J$5,2,FALSE)</f>
        <v>vis</v>
      </c>
      <c r="E11" s="43">
        <f>VLOOKUP(C11,A!C$21:E$972,3,FALSE)</f>
        <v>3423.9978114314667</v>
      </c>
      <c r="F11" s="5" t="s">
        <v>54</v>
      </c>
      <c r="G11" s="11" t="str">
        <f aca="true" t="shared" si="4" ref="G11:G29">MID(I11,3,LEN(I11)-3)</f>
        <v>52789.4882</v>
      </c>
      <c r="H11" s="12">
        <f aca="true" t="shared" si="5" ref="H11:H29">1*K11</f>
        <v>3424</v>
      </c>
      <c r="I11" s="44" t="s">
        <v>98</v>
      </c>
      <c r="J11" s="45" t="s">
        <v>99</v>
      </c>
      <c r="K11" s="44">
        <v>3424</v>
      </c>
      <c r="L11" s="44" t="s">
        <v>100</v>
      </c>
      <c r="M11" s="45" t="s">
        <v>101</v>
      </c>
      <c r="N11" s="45" t="s">
        <v>102</v>
      </c>
      <c r="O11" s="46" t="s">
        <v>103</v>
      </c>
      <c r="P11" s="47" t="s">
        <v>104</v>
      </c>
    </row>
    <row r="12" spans="1:16" ht="12.75" customHeight="1" thickBot="1">
      <c r="A12" s="12" t="str">
        <f t="shared" si="0"/>
        <v>BAVM 178 </v>
      </c>
      <c r="B12" s="5" t="str">
        <f t="shared" si="1"/>
        <v>I</v>
      </c>
      <c r="C12" s="12">
        <f t="shared" si="2"/>
        <v>53659.2835</v>
      </c>
      <c r="D12" s="11" t="str">
        <f t="shared" si="3"/>
        <v>vis</v>
      </c>
      <c r="E12" s="43">
        <f>VLOOKUP(C12,A!C$21:E$972,3,FALSE)</f>
        <v>3583.997023387861</v>
      </c>
      <c r="F12" s="5" t="s">
        <v>54</v>
      </c>
      <c r="G12" s="11" t="str">
        <f t="shared" si="4"/>
        <v>53659.2835</v>
      </c>
      <c r="H12" s="12">
        <f t="shared" si="5"/>
        <v>3584</v>
      </c>
      <c r="I12" s="44" t="s">
        <v>105</v>
      </c>
      <c r="J12" s="45" t="s">
        <v>106</v>
      </c>
      <c r="K12" s="44" t="s">
        <v>107</v>
      </c>
      <c r="L12" s="44" t="s">
        <v>108</v>
      </c>
      <c r="M12" s="45" t="s">
        <v>109</v>
      </c>
      <c r="N12" s="45" t="s">
        <v>102</v>
      </c>
      <c r="O12" s="46" t="s">
        <v>110</v>
      </c>
      <c r="P12" s="47" t="s">
        <v>111</v>
      </c>
    </row>
    <row r="13" spans="1:16" ht="12.75" customHeight="1" thickBot="1">
      <c r="A13" s="12" t="str">
        <f t="shared" si="0"/>
        <v>OEJV 0137 </v>
      </c>
      <c r="B13" s="5" t="str">
        <f t="shared" si="1"/>
        <v>I</v>
      </c>
      <c r="C13" s="12">
        <f t="shared" si="2"/>
        <v>55045.5342</v>
      </c>
      <c r="D13" s="11" t="str">
        <f t="shared" si="3"/>
        <v>vis</v>
      </c>
      <c r="E13" s="43">
        <f>VLOOKUP(C13,A!C$21:E$972,3,FALSE)</f>
        <v>3838.9984238024203</v>
      </c>
      <c r="F13" s="5" t="s">
        <v>54</v>
      </c>
      <c r="G13" s="11" t="str">
        <f t="shared" si="4"/>
        <v>55045.5342</v>
      </c>
      <c r="H13" s="12">
        <f t="shared" si="5"/>
        <v>3839</v>
      </c>
      <c r="I13" s="44" t="s">
        <v>112</v>
      </c>
      <c r="J13" s="45" t="s">
        <v>113</v>
      </c>
      <c r="K13" s="44" t="s">
        <v>114</v>
      </c>
      <c r="L13" s="44" t="s">
        <v>115</v>
      </c>
      <c r="M13" s="45" t="s">
        <v>109</v>
      </c>
      <c r="N13" s="45" t="s">
        <v>116</v>
      </c>
      <c r="O13" s="46" t="s">
        <v>117</v>
      </c>
      <c r="P13" s="47" t="s">
        <v>118</v>
      </c>
    </row>
    <row r="14" spans="1:16" ht="12.75" customHeight="1" thickBot="1">
      <c r="A14" s="12" t="str">
        <f t="shared" si="0"/>
        <v>BAVM 215 </v>
      </c>
      <c r="B14" s="5" t="str">
        <f t="shared" si="1"/>
        <v>I</v>
      </c>
      <c r="C14" s="12">
        <f t="shared" si="2"/>
        <v>55393.4551</v>
      </c>
      <c r="D14" s="11" t="str">
        <f t="shared" si="3"/>
        <v>vis</v>
      </c>
      <c r="E14" s="43">
        <f>VLOOKUP(C14,A!C$21:E$972,3,FALSE)</f>
        <v>3902.998619967149</v>
      </c>
      <c r="F14" s="5" t="s">
        <v>54</v>
      </c>
      <c r="G14" s="11" t="str">
        <f t="shared" si="4"/>
        <v>55393.4551</v>
      </c>
      <c r="H14" s="12">
        <f t="shared" si="5"/>
        <v>3903</v>
      </c>
      <c r="I14" s="44" t="s">
        <v>123</v>
      </c>
      <c r="J14" s="45" t="s">
        <v>124</v>
      </c>
      <c r="K14" s="44" t="s">
        <v>125</v>
      </c>
      <c r="L14" s="44" t="s">
        <v>126</v>
      </c>
      <c r="M14" s="45" t="s">
        <v>109</v>
      </c>
      <c r="N14" s="45" t="s">
        <v>102</v>
      </c>
      <c r="O14" s="46" t="s">
        <v>127</v>
      </c>
      <c r="P14" s="47" t="s">
        <v>128</v>
      </c>
    </row>
    <row r="15" spans="1:16" ht="12.75" customHeight="1" thickBot="1">
      <c r="A15" s="12" t="str">
        <f t="shared" si="0"/>
        <v>BAVM 231 </v>
      </c>
      <c r="B15" s="5" t="str">
        <f t="shared" si="1"/>
        <v>I</v>
      </c>
      <c r="C15" s="12">
        <f t="shared" si="2"/>
        <v>56203.4553</v>
      </c>
      <c r="D15" s="11" t="str">
        <f t="shared" si="3"/>
        <v>vis</v>
      </c>
      <c r="E15" s="43">
        <f>VLOOKUP(C15,A!C$21:E$972,3,FALSE)</f>
        <v>4051.9984980816002</v>
      </c>
      <c r="F15" s="5" t="s">
        <v>54</v>
      </c>
      <c r="G15" s="11" t="str">
        <f t="shared" si="4"/>
        <v>56203.4553</v>
      </c>
      <c r="H15" s="12">
        <f t="shared" si="5"/>
        <v>4052</v>
      </c>
      <c r="I15" s="44" t="s">
        <v>129</v>
      </c>
      <c r="J15" s="45" t="s">
        <v>130</v>
      </c>
      <c r="K15" s="44" t="s">
        <v>131</v>
      </c>
      <c r="L15" s="44" t="s">
        <v>122</v>
      </c>
      <c r="M15" s="45" t="s">
        <v>109</v>
      </c>
      <c r="N15" s="45" t="s">
        <v>102</v>
      </c>
      <c r="O15" s="46" t="s">
        <v>127</v>
      </c>
      <c r="P15" s="47" t="s">
        <v>132</v>
      </c>
    </row>
    <row r="16" spans="1:16" ht="12.75" customHeight="1" thickBot="1">
      <c r="A16" s="12" t="str">
        <f t="shared" si="0"/>
        <v> RIA 6.378 </v>
      </c>
      <c r="B16" s="5" t="str">
        <f t="shared" si="1"/>
        <v>I</v>
      </c>
      <c r="C16" s="12">
        <f t="shared" si="2"/>
        <v>26162.748</v>
      </c>
      <c r="D16" s="11" t="str">
        <f t="shared" si="3"/>
        <v>vis</v>
      </c>
      <c r="E16" s="43">
        <f>VLOOKUP(C16,A!C$21:E$972,3,FALSE)</f>
        <v>-1474.0022685501763</v>
      </c>
      <c r="F16" s="5" t="s">
        <v>54</v>
      </c>
      <c r="G16" s="11" t="str">
        <f t="shared" si="4"/>
        <v>26162.748</v>
      </c>
      <c r="H16" s="12">
        <f t="shared" si="5"/>
        <v>-1474</v>
      </c>
      <c r="I16" s="44" t="s">
        <v>57</v>
      </c>
      <c r="J16" s="45" t="s">
        <v>58</v>
      </c>
      <c r="K16" s="44">
        <v>-1474</v>
      </c>
      <c r="L16" s="44" t="s">
        <v>59</v>
      </c>
      <c r="M16" s="45" t="s">
        <v>60</v>
      </c>
      <c r="N16" s="45"/>
      <c r="O16" s="46" t="s">
        <v>61</v>
      </c>
      <c r="P16" s="46" t="s">
        <v>62</v>
      </c>
    </row>
    <row r="17" spans="1:16" ht="12.75" customHeight="1" thickBot="1">
      <c r="A17" s="12" t="str">
        <f t="shared" si="0"/>
        <v> RIA 6.378 </v>
      </c>
      <c r="B17" s="5" t="str">
        <f t="shared" si="1"/>
        <v>I</v>
      </c>
      <c r="C17" s="12">
        <f t="shared" si="2"/>
        <v>32762.37</v>
      </c>
      <c r="D17" s="11" t="str">
        <f t="shared" si="3"/>
        <v>vis</v>
      </c>
      <c r="E17" s="43">
        <f>VLOOKUP(C17,A!C$21:E$972,3,FALSE)</f>
        <v>-259.9990206479562</v>
      </c>
      <c r="F17" s="5" t="s">
        <v>54</v>
      </c>
      <c r="G17" s="11" t="str">
        <f t="shared" si="4"/>
        <v>32762.370</v>
      </c>
      <c r="H17" s="12">
        <f t="shared" si="5"/>
        <v>-260</v>
      </c>
      <c r="I17" s="44" t="s">
        <v>63</v>
      </c>
      <c r="J17" s="45" t="s">
        <v>64</v>
      </c>
      <c r="K17" s="44">
        <v>-260</v>
      </c>
      <c r="L17" s="44" t="s">
        <v>65</v>
      </c>
      <c r="M17" s="45" t="s">
        <v>60</v>
      </c>
      <c r="N17" s="45"/>
      <c r="O17" s="46" t="s">
        <v>61</v>
      </c>
      <c r="P17" s="46" t="s">
        <v>62</v>
      </c>
    </row>
    <row r="18" spans="1:16" ht="12.75" customHeight="1" thickBot="1">
      <c r="A18" s="12" t="str">
        <f t="shared" si="0"/>
        <v> RIA 6.378 </v>
      </c>
      <c r="B18" s="5" t="str">
        <f t="shared" si="1"/>
        <v>I</v>
      </c>
      <c r="C18" s="12">
        <f t="shared" si="2"/>
        <v>33534.307</v>
      </c>
      <c r="D18" s="11" t="str">
        <f t="shared" si="3"/>
        <v>vis</v>
      </c>
      <c r="E18" s="43">
        <f>VLOOKUP(C18,A!C$21:E$972,3,FALSE)</f>
        <v>-118.00088421288486</v>
      </c>
      <c r="F18" s="5" t="s">
        <v>54</v>
      </c>
      <c r="G18" s="11" t="str">
        <f t="shared" si="4"/>
        <v>33534.307</v>
      </c>
      <c r="H18" s="12">
        <f t="shared" si="5"/>
        <v>-118</v>
      </c>
      <c r="I18" s="44" t="s">
        <v>66</v>
      </c>
      <c r="J18" s="45" t="s">
        <v>67</v>
      </c>
      <c r="K18" s="44">
        <v>-118</v>
      </c>
      <c r="L18" s="44" t="s">
        <v>68</v>
      </c>
      <c r="M18" s="45" t="s">
        <v>60</v>
      </c>
      <c r="N18" s="45"/>
      <c r="O18" s="46" t="s">
        <v>61</v>
      </c>
      <c r="P18" s="46" t="s">
        <v>62</v>
      </c>
    </row>
    <row r="19" spans="1:16" ht="12.75" customHeight="1" thickBot="1">
      <c r="A19" s="12" t="str">
        <f t="shared" si="0"/>
        <v> RIA 6.378 </v>
      </c>
      <c r="B19" s="5" t="str">
        <f t="shared" si="1"/>
        <v>I</v>
      </c>
      <c r="C19" s="12">
        <f t="shared" si="2"/>
        <v>33751.765</v>
      </c>
      <c r="D19" s="11" t="str">
        <f t="shared" si="3"/>
        <v>vis</v>
      </c>
      <c r="E19" s="43">
        <f>VLOOKUP(C19,A!C$21:E$972,3,FALSE)</f>
        <v>-77.99939347867016</v>
      </c>
      <c r="F19" s="5" t="s">
        <v>54</v>
      </c>
      <c r="G19" s="11" t="str">
        <f t="shared" si="4"/>
        <v>33751.765</v>
      </c>
      <c r="H19" s="12">
        <f t="shared" si="5"/>
        <v>-78</v>
      </c>
      <c r="I19" s="44" t="s">
        <v>69</v>
      </c>
      <c r="J19" s="45" t="s">
        <v>70</v>
      </c>
      <c r="K19" s="44">
        <v>-78</v>
      </c>
      <c r="L19" s="44" t="s">
        <v>71</v>
      </c>
      <c r="M19" s="45" t="s">
        <v>60</v>
      </c>
      <c r="N19" s="45"/>
      <c r="O19" s="46" t="s">
        <v>61</v>
      </c>
      <c r="P19" s="46" t="s">
        <v>62</v>
      </c>
    </row>
    <row r="20" spans="1:16" ht="12.75" customHeight="1" thickBot="1">
      <c r="A20" s="12" t="str">
        <f t="shared" si="0"/>
        <v> RIA 6.378 </v>
      </c>
      <c r="B20" s="5" t="str">
        <f t="shared" si="1"/>
        <v>I</v>
      </c>
      <c r="C20" s="12">
        <f t="shared" si="2"/>
        <v>34121.47</v>
      </c>
      <c r="D20" s="11" t="str">
        <f t="shared" si="3"/>
        <v>vis</v>
      </c>
      <c r="E20" s="43">
        <f>VLOOKUP(C20,A!C$21:E$972,3,FALSE)</f>
        <v>-9.992002939379812</v>
      </c>
      <c r="F20" s="5" t="s">
        <v>54</v>
      </c>
      <c r="G20" s="11" t="str">
        <f t="shared" si="4"/>
        <v>34121.470</v>
      </c>
      <c r="H20" s="12">
        <f t="shared" si="5"/>
        <v>-10</v>
      </c>
      <c r="I20" s="44" t="s">
        <v>72</v>
      </c>
      <c r="J20" s="45" t="s">
        <v>73</v>
      </c>
      <c r="K20" s="44">
        <v>-10</v>
      </c>
      <c r="L20" s="44" t="s">
        <v>74</v>
      </c>
      <c r="M20" s="45" t="s">
        <v>60</v>
      </c>
      <c r="N20" s="45"/>
      <c r="O20" s="46" t="s">
        <v>61</v>
      </c>
      <c r="P20" s="46" t="s">
        <v>62</v>
      </c>
    </row>
    <row r="21" spans="1:16" ht="12.75" customHeight="1" thickBot="1">
      <c r="A21" s="12" t="str">
        <f t="shared" si="0"/>
        <v> RIA 6.378 </v>
      </c>
      <c r="B21" s="5" t="str">
        <f t="shared" si="1"/>
        <v>I</v>
      </c>
      <c r="C21" s="12">
        <f t="shared" si="2"/>
        <v>34355.174</v>
      </c>
      <c r="D21" s="11" t="str">
        <f t="shared" si="3"/>
        <v>vis</v>
      </c>
      <c r="E21" s="43">
        <f>VLOOKUP(C21,A!C$21:E$972,3,FALSE)</f>
        <v>32.997946340705916</v>
      </c>
      <c r="F21" s="5" t="s">
        <v>54</v>
      </c>
      <c r="G21" s="11" t="str">
        <f t="shared" si="4"/>
        <v>34355.174</v>
      </c>
      <c r="H21" s="12">
        <f t="shared" si="5"/>
        <v>33</v>
      </c>
      <c r="I21" s="44" t="s">
        <v>75</v>
      </c>
      <c r="J21" s="45" t="s">
        <v>76</v>
      </c>
      <c r="K21" s="44">
        <v>33</v>
      </c>
      <c r="L21" s="44" t="s">
        <v>77</v>
      </c>
      <c r="M21" s="45" t="s">
        <v>56</v>
      </c>
      <c r="N21" s="45"/>
      <c r="O21" s="46" t="s">
        <v>61</v>
      </c>
      <c r="P21" s="46" t="s">
        <v>62</v>
      </c>
    </row>
    <row r="22" spans="1:16" ht="12.75" customHeight="1" thickBot="1">
      <c r="A22" s="12" t="str">
        <f t="shared" si="0"/>
        <v> RIA 6.378 </v>
      </c>
      <c r="B22" s="5" t="str">
        <f t="shared" si="1"/>
        <v>I</v>
      </c>
      <c r="C22" s="12">
        <f t="shared" si="2"/>
        <v>34681.347</v>
      </c>
      <c r="D22" s="11" t="str">
        <f t="shared" si="3"/>
        <v>vis</v>
      </c>
      <c r="E22" s="43">
        <f>VLOOKUP(C22,A!C$21:E$972,3,FALSE)</f>
        <v>92.99760713612933</v>
      </c>
      <c r="F22" s="5" t="s">
        <v>54</v>
      </c>
      <c r="G22" s="11" t="str">
        <f t="shared" si="4"/>
        <v>34681.347</v>
      </c>
      <c r="H22" s="12">
        <f t="shared" si="5"/>
        <v>93</v>
      </c>
      <c r="I22" s="44" t="s">
        <v>78</v>
      </c>
      <c r="J22" s="45" t="s">
        <v>79</v>
      </c>
      <c r="K22" s="44">
        <v>93</v>
      </c>
      <c r="L22" s="44" t="s">
        <v>80</v>
      </c>
      <c r="M22" s="45" t="s">
        <v>60</v>
      </c>
      <c r="N22" s="45"/>
      <c r="O22" s="46" t="s">
        <v>61</v>
      </c>
      <c r="P22" s="46" t="s">
        <v>62</v>
      </c>
    </row>
    <row r="23" spans="1:16" ht="12.75" customHeight="1" thickBot="1">
      <c r="A23" s="12" t="str">
        <f t="shared" si="0"/>
        <v> RIA 6.378 </v>
      </c>
      <c r="B23" s="5" t="str">
        <f t="shared" si="1"/>
        <v>I</v>
      </c>
      <c r="C23" s="12">
        <f t="shared" si="2"/>
        <v>34920.556</v>
      </c>
      <c r="D23" s="11" t="str">
        <f t="shared" si="3"/>
        <v>vis</v>
      </c>
      <c r="E23" s="43">
        <f>VLOOKUP(C23,A!C$21:E$972,3,FALSE)</f>
        <v>137.0002034859561</v>
      </c>
      <c r="F23" s="5" t="s">
        <v>54</v>
      </c>
      <c r="G23" s="11" t="str">
        <f t="shared" si="4"/>
        <v>34920.556</v>
      </c>
      <c r="H23" s="12">
        <f t="shared" si="5"/>
        <v>137</v>
      </c>
      <c r="I23" s="44" t="s">
        <v>81</v>
      </c>
      <c r="J23" s="45" t="s">
        <v>82</v>
      </c>
      <c r="K23" s="44">
        <v>137</v>
      </c>
      <c r="L23" s="44" t="s">
        <v>83</v>
      </c>
      <c r="M23" s="45" t="s">
        <v>60</v>
      </c>
      <c r="N23" s="45"/>
      <c r="O23" s="46" t="s">
        <v>61</v>
      </c>
      <c r="P23" s="46" t="s">
        <v>62</v>
      </c>
    </row>
    <row r="24" spans="1:16" ht="12.75" customHeight="1" thickBot="1">
      <c r="A24" s="12" t="str">
        <f t="shared" si="0"/>
        <v> RIA 6.378 </v>
      </c>
      <c r="B24" s="5" t="str">
        <f t="shared" si="1"/>
        <v>I</v>
      </c>
      <c r="C24" s="12">
        <f t="shared" si="2"/>
        <v>35170.632</v>
      </c>
      <c r="D24" s="11" t="str">
        <f t="shared" si="3"/>
        <v>vis</v>
      </c>
      <c r="E24" s="43">
        <f>VLOOKUP(C24,A!C$21:E$972,3,FALSE)</f>
        <v>183.00178906500847</v>
      </c>
      <c r="F24" s="5" t="s">
        <v>54</v>
      </c>
      <c r="G24" s="11" t="str">
        <f t="shared" si="4"/>
        <v>35170.632</v>
      </c>
      <c r="H24" s="12">
        <f t="shared" si="5"/>
        <v>183</v>
      </c>
      <c r="I24" s="44" t="s">
        <v>84</v>
      </c>
      <c r="J24" s="45" t="s">
        <v>85</v>
      </c>
      <c r="K24" s="44">
        <v>183</v>
      </c>
      <c r="L24" s="44" t="s">
        <v>86</v>
      </c>
      <c r="M24" s="45" t="s">
        <v>60</v>
      </c>
      <c r="N24" s="45"/>
      <c r="O24" s="46" t="s">
        <v>61</v>
      </c>
      <c r="P24" s="46" t="s">
        <v>62</v>
      </c>
    </row>
    <row r="25" spans="1:16" ht="12.75" customHeight="1" thickBot="1">
      <c r="A25" s="12" t="str">
        <f t="shared" si="0"/>
        <v> RIA 6.378 </v>
      </c>
      <c r="B25" s="5" t="str">
        <f t="shared" si="1"/>
        <v>I</v>
      </c>
      <c r="C25" s="12">
        <f t="shared" si="2"/>
        <v>35317.378</v>
      </c>
      <c r="D25" s="11" t="str">
        <f t="shared" si="3"/>
        <v>vis</v>
      </c>
      <c r="E25" s="43">
        <f>VLOOKUP(C25,A!C$21:E$972,3,FALSE)</f>
        <v>209.99577760202743</v>
      </c>
      <c r="F25" s="5" t="s">
        <v>54</v>
      </c>
      <c r="G25" s="11" t="str">
        <f t="shared" si="4"/>
        <v>35317.378</v>
      </c>
      <c r="H25" s="12">
        <f t="shared" si="5"/>
        <v>210</v>
      </c>
      <c r="I25" s="44" t="s">
        <v>87</v>
      </c>
      <c r="J25" s="45" t="s">
        <v>88</v>
      </c>
      <c r="K25" s="44">
        <v>210</v>
      </c>
      <c r="L25" s="44" t="s">
        <v>89</v>
      </c>
      <c r="M25" s="45" t="s">
        <v>56</v>
      </c>
      <c r="N25" s="45"/>
      <c r="O25" s="46" t="s">
        <v>61</v>
      </c>
      <c r="P25" s="46" t="s">
        <v>62</v>
      </c>
    </row>
    <row r="26" spans="1:16" ht="12.75" customHeight="1" thickBot="1">
      <c r="A26" s="12" t="str">
        <f t="shared" si="0"/>
        <v> RIA 6.378 </v>
      </c>
      <c r="B26" s="5" t="str">
        <f t="shared" si="1"/>
        <v>I</v>
      </c>
      <c r="C26" s="12">
        <f t="shared" si="2"/>
        <v>35453.35</v>
      </c>
      <c r="D26" s="11" t="str">
        <f t="shared" si="3"/>
        <v>vis</v>
      </c>
      <c r="E26" s="43">
        <f>VLOOKUP(C26,A!C$21:E$972,3,FALSE)</f>
        <v>235.00788429901138</v>
      </c>
      <c r="F26" s="5" t="s">
        <v>54</v>
      </c>
      <c r="G26" s="11" t="str">
        <f t="shared" si="4"/>
        <v>35453.350</v>
      </c>
      <c r="H26" s="12">
        <f t="shared" si="5"/>
        <v>235</v>
      </c>
      <c r="I26" s="44" t="s">
        <v>90</v>
      </c>
      <c r="J26" s="45" t="s">
        <v>91</v>
      </c>
      <c r="K26" s="44">
        <v>235</v>
      </c>
      <c r="L26" s="44" t="s">
        <v>74</v>
      </c>
      <c r="M26" s="45" t="s">
        <v>60</v>
      </c>
      <c r="N26" s="45"/>
      <c r="O26" s="46" t="s">
        <v>61</v>
      </c>
      <c r="P26" s="46" t="s">
        <v>62</v>
      </c>
    </row>
    <row r="27" spans="1:16" ht="12.75" customHeight="1" thickBot="1">
      <c r="A27" s="12" t="str">
        <f t="shared" si="0"/>
        <v> RIA 6.378 </v>
      </c>
      <c r="B27" s="5" t="str">
        <f t="shared" si="1"/>
        <v>I</v>
      </c>
      <c r="C27" s="12">
        <f t="shared" si="2"/>
        <v>36850.415</v>
      </c>
      <c r="D27" s="11" t="str">
        <f t="shared" si="3"/>
        <v>vis</v>
      </c>
      <c r="E27" s="43">
        <f>VLOOKUP(C27,A!C$21:E$972,3,FALSE)</f>
        <v>491.99857975558723</v>
      </c>
      <c r="F27" s="5" t="s">
        <v>54</v>
      </c>
      <c r="G27" s="11" t="str">
        <f t="shared" si="4"/>
        <v>36850.415</v>
      </c>
      <c r="H27" s="12">
        <f t="shared" si="5"/>
        <v>492</v>
      </c>
      <c r="I27" s="44" t="s">
        <v>92</v>
      </c>
      <c r="J27" s="45" t="s">
        <v>93</v>
      </c>
      <c r="K27" s="44">
        <v>492</v>
      </c>
      <c r="L27" s="44" t="s">
        <v>94</v>
      </c>
      <c r="M27" s="45" t="s">
        <v>56</v>
      </c>
      <c r="N27" s="45"/>
      <c r="O27" s="46" t="s">
        <v>61</v>
      </c>
      <c r="P27" s="46" t="s">
        <v>62</v>
      </c>
    </row>
    <row r="28" spans="1:16" ht="12.75" customHeight="1" thickBot="1">
      <c r="A28" s="12" t="str">
        <f t="shared" si="0"/>
        <v> RIA 6.378 </v>
      </c>
      <c r="B28" s="5" t="str">
        <f t="shared" si="1"/>
        <v>I</v>
      </c>
      <c r="C28" s="12">
        <f t="shared" si="2"/>
        <v>37198.31</v>
      </c>
      <c r="D28" s="11" t="str">
        <f t="shared" si="3"/>
        <v>vis</v>
      </c>
      <c r="E28" s="43">
        <f>VLOOKUP(C28,A!C$21:E$972,3,FALSE)</f>
        <v>555.9940116044021</v>
      </c>
      <c r="F28" s="5" t="s">
        <v>54</v>
      </c>
      <c r="G28" s="11" t="str">
        <f t="shared" si="4"/>
        <v>37198.310</v>
      </c>
      <c r="H28" s="12">
        <f t="shared" si="5"/>
        <v>556</v>
      </c>
      <c r="I28" s="44" t="s">
        <v>95</v>
      </c>
      <c r="J28" s="45" t="s">
        <v>96</v>
      </c>
      <c r="K28" s="44">
        <v>556</v>
      </c>
      <c r="L28" s="44" t="s">
        <v>97</v>
      </c>
      <c r="M28" s="45" t="s">
        <v>56</v>
      </c>
      <c r="N28" s="45"/>
      <c r="O28" s="46" t="s">
        <v>61</v>
      </c>
      <c r="P28" s="46" t="s">
        <v>62</v>
      </c>
    </row>
    <row r="29" spans="1:16" ht="12.75" customHeight="1" thickBot="1">
      <c r="A29" s="12" t="str">
        <f t="shared" si="0"/>
        <v>OEJV 0137 </v>
      </c>
      <c r="B29" s="5" t="str">
        <f t="shared" si="1"/>
        <v>I</v>
      </c>
      <c r="C29" s="12">
        <f t="shared" si="2"/>
        <v>55355.4007</v>
      </c>
      <c r="D29" s="11" t="str">
        <f t="shared" si="3"/>
        <v>vis</v>
      </c>
      <c r="E29" s="43" t="e">
        <f>VLOOKUP(C29,A!C$21:E$972,3,FALSE)</f>
        <v>#N/A</v>
      </c>
      <c r="F29" s="5" t="s">
        <v>54</v>
      </c>
      <c r="G29" s="11" t="str">
        <f t="shared" si="4"/>
        <v>55355.4007</v>
      </c>
      <c r="H29" s="12">
        <f t="shared" si="5"/>
        <v>3896</v>
      </c>
      <c r="I29" s="44" t="s">
        <v>119</v>
      </c>
      <c r="J29" s="45" t="s">
        <v>120</v>
      </c>
      <c r="K29" s="44" t="s">
        <v>121</v>
      </c>
      <c r="L29" s="44" t="s">
        <v>122</v>
      </c>
      <c r="M29" s="45" t="s">
        <v>109</v>
      </c>
      <c r="N29" s="45" t="s">
        <v>116</v>
      </c>
      <c r="O29" s="46" t="s">
        <v>117</v>
      </c>
      <c r="P29" s="47" t="s">
        <v>118</v>
      </c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</sheetData>
  <sheetProtection/>
  <hyperlinks>
    <hyperlink ref="P11" r:id="rId1" display="http://www.bav-astro.de/sfs/BAVM_link.php?BAVMnr=172"/>
    <hyperlink ref="P12" r:id="rId2" display="http://www.bav-astro.de/sfs/BAVM_link.php?BAVMnr=178"/>
    <hyperlink ref="P13" r:id="rId3" display="http://var.astro.cz/oejv/issues/oejv0137.pdf"/>
    <hyperlink ref="P29" r:id="rId4" display="http://var.astro.cz/oejv/issues/oejv0137.pdf"/>
    <hyperlink ref="P14" r:id="rId5" display="http://www.bav-astro.de/sfs/BAVM_link.php?BAVMnr=215"/>
    <hyperlink ref="P15" r:id="rId6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