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<sst xmlns="http://schemas.openxmlformats.org/spreadsheetml/2006/main" count="145" uniqueCount="100">
  <si>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</si>
  <si>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</si>
  <si>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</si>
  <si>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</si>
  <si>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</si>
  <si>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</si>
  <si>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</si>
  <si>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</si>
  <si>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</si>
  <si>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</si>
  <si>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</si>
  <si>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</si>
  <si>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</si>
  <si>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</si>
  <si>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</si>
  <si>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</si>
  <si>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</si>
  <si>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</si>
  <si>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</si>
  <si>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</si>
  <si>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</si>
  <si>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</si>
  <si>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</si>
  <si>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</si>
  <si>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</si>
  <si>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</si>
  <si>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</si>
  <si>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</si>
  <si>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</si>
  <si>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IBVS 5653</t>
  </si>
  <si>
    <t>I</t>
  </si>
  <si>
    <t>IBVS 5713</t>
  </si>
  <si>
    <t>IBVS 5731</t>
  </si>
  <si>
    <t>V1066 Cyg / GSC 03181-05418</t>
  </si>
  <si>
    <t>My time zone &gt;&gt;&gt;&gt;&gt;</t>
  </si>
  <si>
    <t>(PST=8, PDT=MDT=7, MDT=CST=6, etc.)</t>
  </si>
  <si>
    <t>JD today</t>
  </si>
  <si>
    <t>New Cycle</t>
  </si>
  <si>
    <t>Next ToM</t>
  </si>
  <si>
    <t>EA</t>
  </si>
  <si>
    <t>IBVS 5781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</si>
  <si>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</si>
  <si>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</si>
  <si>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</si>
  <si>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</si>
  <si>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</si>
  <si>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</si>
  <si>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</si>
  <si>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</si>
  <si>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</si>
  <si>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</si>
  <si>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</si>
  <si>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2451810.583 </t>
  </si>
  <si>
    <t> 23.09.2000 01:59 </t>
  </si>
  <si>
    <t> 0.074 </t>
  </si>
  <si>
    <t>E </t>
  </si>
  <si>
    <t>?</t>
  </si>
  <si>
    <t> R.Diethelm </t>
  </si>
  <si>
    <t> BBS 123 </t>
  </si>
  <si>
    <t>2453283.307 </t>
  </si>
  <si>
    <t> 04.10.2004 19:22 </t>
  </si>
  <si>
    <t> 0.077 </t>
  </si>
  <si>
    <t> R. Diethelm </t>
  </si>
  <si>
    <t>IBVS 5653 </t>
  </si>
  <si>
    <t>2453557.400 </t>
  </si>
  <si>
    <t> 05.07.2005 21:36 </t>
  </si>
  <si>
    <t> 0.068 </t>
  </si>
  <si>
    <t>IBVS 5713 </t>
  </si>
  <si>
    <t>2453619.3491 </t>
  </si>
  <si>
    <t> 05.09.2005 20:22 </t>
  </si>
  <si>
    <t> 0.0726 </t>
  </si>
  <si>
    <t>C </t>
  </si>
  <si>
    <t>-I</t>
  </si>
  <si>
    <t> Agerer </t>
  </si>
  <si>
    <t>BAVM 178 </t>
  </si>
  <si>
    <t>2453622.4487 </t>
  </si>
  <si>
    <t> 08.09.2005 22:46 </t>
  </si>
  <si>
    <t>16571</t>
  </si>
  <si>
    <t> 0.0750 </t>
  </si>
  <si>
    <t>2453941.4587 </t>
  </si>
  <si>
    <t> 24.07.2006 23:00 </t>
  </si>
  <si>
    <t>16777</t>
  </si>
  <si>
    <t> 0.0729 </t>
  </si>
  <si>
    <t> BBS 133 (=IBVS 5781) </t>
  </si>
  <si>
    <t>2455059.5537 </t>
  </si>
  <si>
    <t> 16.08.2009 01:17 </t>
  </si>
  <si>
    <t>17499</t>
  </si>
  <si>
    <t> 0.0773 </t>
  </si>
  <si>
    <t> P.Frank </t>
  </si>
  <si>
    <t>BAVM 212 </t>
  </si>
  <si>
    <t>2455844.6987 </t>
  </si>
  <si>
    <t> 10.10.2011 04:46 </t>
  </si>
  <si>
    <t>18006</t>
  </si>
  <si>
    <t> 0.0811 </t>
  </si>
  <si>
    <t>IBVS 6011 </t>
  </si>
  <si>
    <t>Start of linear fit &gt;&gt;&gt;&gt;&gt;&gt;&gt;&gt;&gt;&gt;&gt;&gt;&gt;&gt;&gt;&gt;&gt;&gt;&gt;&gt;&gt;</t>
  </si>
  <si>
    <t>Add cycle</t>
  </si>
  <si>
    <t>Old Cycle</t>
  </si>
  <si>
    <t>BAD?</t>
  </si>
  <si>
    <t>IBVS 6011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</si>
</sst>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0" xfId="0" applyFont="1" applyFill="1" applyBorder="1" applyAlignment="1">
      <alignment horizontal="left" vertical="top" wrapText="1" inden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right" vertical="top" wrapText="1"/>
    </xf>
    <xf numFmtId="0" fontId="13" fillId="33" borderId="20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5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V1066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0209486"/>
        <c:axId val="3449919"/>
      </c:scatterChart>
      <c:valAx>
        <c:axId val="30209486"/>
        <c:scaling>
          <c:orientation val="minMax"/>
          <c:min val="1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crossBetween val="midCat"/>
        <c:dispUnits/>
      </c:valAx>
      <c:valAx>
        <c:axId val="3449919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9305"/>
          <c:w val="0.788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V1066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75"/>
          <c:w val="0.906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0.004</c:v>
                  </c:pt>
                  <c:pt idx="3">
                    <c:v>0.005</c:v>
                  </c:pt>
                  <c:pt idx="4">
                    <c:v>0.0029</c:v>
                  </c:pt>
                  <c:pt idx="5">
                    <c:v>0.0016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1049272"/>
        <c:axId val="11007993"/>
      </c:scatterChart>
      <c:valAx>
        <c:axId val="3104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crossBetween val="midCat"/>
        <c:dispUnits/>
      </c:valAx>
      <c:valAx>
        <c:axId val="1100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3075"/>
          <c:w val="0.685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49580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438150</xdr:colOff>
      <xdr:row>0</xdr:row>
      <xdr:rowOff>0</xdr:rowOff>
    </xdr:from>
    <xdr:to>
      <xdr:col>26</xdr:col>
      <xdr:colOff>171450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1134725" y="0"/>
        <a:ext cx="5905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53" TargetMode="External" /><Relationship Id="rId2" Type="http://schemas.openxmlformats.org/officeDocument/2006/relationships/hyperlink" Target="http://www.konkoly.hu/cgi-bin/IBVS?5713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bav-astro.de/sfs/BAVM_link.php?BAVMnr=178" TargetMode="External" /><Relationship Id="rId5" Type="http://schemas.openxmlformats.org/officeDocument/2006/relationships/hyperlink" Target="http://www.bav-astro.de/sfs/BAVM_link.php?BAVMnr=212" TargetMode="External" /><Relationship Id="rId6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4" ht="12.75">
      <c r="A2" t="s">
        <v>24</v>
      </c>
      <c r="B2" s="28" t="s">
        <v>39</v>
      </c>
      <c r="C2" s="3"/>
      <c r="D2" s="3"/>
    </row>
    <row r="3" ht="13.5" thickBot="1"/>
    <row r="4" spans="1:4" ht="13.5" thickBot="1">
      <c r="A4" s="5" t="s">
        <v>0</v>
      </c>
      <c r="C4" s="29">
        <v>27960.49</v>
      </c>
      <c r="D4" s="30">
        <v>1.548602</v>
      </c>
    </row>
    <row r="5" spans="1:4" ht="12.75">
      <c r="A5" s="17" t="s">
        <v>34</v>
      </c>
      <c r="B5" s="8"/>
      <c r="C5" s="18">
        <v>-9.5</v>
      </c>
      <c r="D5" s="8" t="s">
        <v>35</v>
      </c>
    </row>
    <row r="6" ht="12.75">
      <c r="A6" s="5" t="s">
        <v>1</v>
      </c>
    </row>
    <row r="7" spans="1:3" ht="12.75">
      <c r="A7" t="s">
        <v>2</v>
      </c>
      <c r="C7">
        <f>+C4</f>
        <v>27960.49</v>
      </c>
    </row>
    <row r="8" spans="1:3" ht="12.75">
      <c r="A8" t="s">
        <v>3</v>
      </c>
      <c r="C8">
        <f>+D4</f>
        <v>1.548602</v>
      </c>
    </row>
    <row r="9" spans="1:5" ht="12.75">
      <c r="A9" s="48" t="s">
        <v>95</v>
      </c>
      <c r="B9" s="49">
        <v>21</v>
      </c>
      <c r="C9" s="50" t="str">
        <f>"F"&amp;B9</f>
        <v>F21</v>
      </c>
      <c r="D9" s="51" t="str">
        <f>"G"&amp;B9</f>
        <v>G21</v>
      </c>
      <c r="E9" s="8"/>
    </row>
    <row r="10" spans="1:5" ht="13.5" thickBot="1">
      <c r="A10" s="8"/>
      <c r="B10" s="8"/>
      <c r="C10" s="4" t="s">
        <v>20</v>
      </c>
      <c r="D10" s="4" t="s">
        <v>21</v>
      </c>
      <c r="E10" s="8"/>
    </row>
    <row r="11" spans="1:5" ht="12.75">
      <c r="A11" s="8" t="s">
        <v>16</v>
      </c>
      <c r="B11" s="8"/>
      <c r="C11" s="52">
        <f ca="1">INTERCEPT(INDIRECT($D$9):G978,INDIRECT($C$9):F978)</f>
        <v>0.0003815079949428396</v>
      </c>
      <c r="D11" s="3"/>
      <c r="E11" s="8"/>
    </row>
    <row r="12" spans="1:5" ht="12.75">
      <c r="A12" s="8" t="s">
        <v>17</v>
      </c>
      <c r="B12" s="8"/>
      <c r="C12" s="52">
        <f ca="1">SLOPE(INDIRECT($D$9):G978,INDIRECT($C$9):F978)</f>
        <v>4.440094746754201E-06</v>
      </c>
      <c r="D12" s="3"/>
      <c r="E12" s="8"/>
    </row>
    <row r="13" spans="1:5" ht="12.75">
      <c r="A13" s="8" t="s">
        <v>19</v>
      </c>
      <c r="B13" s="8"/>
      <c r="C13" s="3" t="s">
        <v>14</v>
      </c>
      <c r="D13" s="3"/>
      <c r="E13" s="8"/>
    </row>
    <row r="14" spans="1:5" ht="12.75">
      <c r="A14" s="8"/>
      <c r="B14" s="8"/>
      <c r="C14" s="8"/>
      <c r="D14" s="8"/>
      <c r="E14" s="8"/>
    </row>
    <row r="15" spans="1:6" ht="12.75">
      <c r="A15" s="19" t="s">
        <v>18</v>
      </c>
      <c r="B15" s="8"/>
      <c r="C15" s="20">
        <f>(C7+C11)+(C8+C12)*INT(MAX(F21:F3533))</f>
        <v>55844.69794185401</v>
      </c>
      <c r="D15" s="21" t="s">
        <v>36</v>
      </c>
      <c r="E15" s="21" t="s">
        <v>96</v>
      </c>
      <c r="F15" s="18">
        <v>1</v>
      </c>
    </row>
    <row r="16" spans="1:6" ht="12.75">
      <c r="A16" s="23" t="s">
        <v>4</v>
      </c>
      <c r="B16" s="8"/>
      <c r="C16" s="24">
        <f>+C8+C12</f>
        <v>1.5486064400947468</v>
      </c>
      <c r="D16" s="21" t="s">
        <v>37</v>
      </c>
      <c r="E16" s="21" t="s">
        <v>36</v>
      </c>
      <c r="F16" s="22">
        <f ca="1">NOW()+15018.5+$C$5/24</f>
        <v>59897.484454398145</v>
      </c>
    </row>
    <row r="17" spans="1:6" ht="13.5" thickBot="1">
      <c r="A17" s="21" t="s">
        <v>28</v>
      </c>
      <c r="B17" s="8"/>
      <c r="C17" s="8">
        <f>COUNT(C21:C2191)</f>
        <v>9</v>
      </c>
      <c r="D17" s="21" t="s">
        <v>38</v>
      </c>
      <c r="E17" s="21" t="s">
        <v>97</v>
      </c>
      <c r="F17" s="22">
        <f>ROUND(2*(F16-$C$7)/$C$8,0)/2+F15</f>
        <v>20624</v>
      </c>
    </row>
    <row r="18" spans="1:6" ht="14.25" thickBot="1" thickTop="1">
      <c r="A18" s="23" t="s">
        <v>5</v>
      </c>
      <c r="B18" s="8"/>
      <c r="C18" s="26">
        <f>+C15</f>
        <v>55844.69794185401</v>
      </c>
      <c r="D18" s="27">
        <f>+C16</f>
        <v>1.5486064400947468</v>
      </c>
      <c r="E18" s="21" t="s">
        <v>37</v>
      </c>
      <c r="F18" s="51">
        <f>ROUND(2*(F16-$C$15)/$C$16,0)/2+F15</f>
        <v>2618</v>
      </c>
    </row>
    <row r="19" spans="5:6" ht="13.5" thickTop="1">
      <c r="E19" s="21" t="s">
        <v>38</v>
      </c>
      <c r="F19" s="25">
        <f>+$C$15+$C$16*F18-15018.5-$C$5/24</f>
        <v>44880.84543535539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48</v>
      </c>
      <c r="I20" s="7" t="s">
        <v>51</v>
      </c>
      <c r="J20" s="7" t="s">
        <v>45</v>
      </c>
      <c r="K20" s="7" t="s">
        <v>43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53" t="s">
        <v>98</v>
      </c>
    </row>
    <row r="21" spans="1:17" ht="12.75">
      <c r="A21" t="s">
        <v>12</v>
      </c>
      <c r="C21" s="13">
        <v>27960.49</v>
      </c>
      <c r="D21" s="13" t="s">
        <v>14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 aca="true" t="shared" si="2" ref="G21:G29">+C21-(C$7+F21*C$8)</f>
        <v>0</v>
      </c>
      <c r="H21">
        <f>+G21</f>
        <v>0</v>
      </c>
      <c r="O21">
        <f aca="true" t="shared" si="3" ref="O21:O29">+C$11+C$12*$F21</f>
        <v>0.0003815079949428396</v>
      </c>
      <c r="Q21" s="2">
        <f aca="true" t="shared" si="4" ref="Q21:Q29">+C21-15018.5</f>
        <v>12941.990000000002</v>
      </c>
    </row>
    <row r="22" spans="1:17" ht="12.75">
      <c r="A22" s="45" t="s">
        <v>58</v>
      </c>
      <c r="B22" s="47" t="s">
        <v>30</v>
      </c>
      <c r="C22" s="46">
        <v>51810.583</v>
      </c>
      <c r="D22" s="46" t="s">
        <v>51</v>
      </c>
      <c r="E22">
        <f t="shared" si="0"/>
        <v>15401.047525445529</v>
      </c>
      <c r="F22">
        <f t="shared" si="1"/>
        <v>15401</v>
      </c>
      <c r="G22">
        <f t="shared" si="2"/>
        <v>0.07359799999539973</v>
      </c>
      <c r="K22">
        <f>+G22</f>
        <v>0.07359799999539973</v>
      </c>
      <c r="O22">
        <f t="shared" si="3"/>
        <v>0.06876340718970429</v>
      </c>
      <c r="Q22" s="2">
        <f t="shared" si="4"/>
        <v>36792.083</v>
      </c>
    </row>
    <row r="23" spans="1:17" ht="12.75">
      <c r="A23" s="9" t="s">
        <v>29</v>
      </c>
      <c r="B23" s="10" t="s">
        <v>30</v>
      </c>
      <c r="C23" s="11">
        <v>53283.307</v>
      </c>
      <c r="D23" s="11">
        <v>0.004</v>
      </c>
      <c r="E23">
        <f t="shared" si="0"/>
        <v>16352.049784257026</v>
      </c>
      <c r="F23">
        <f t="shared" si="1"/>
        <v>16352</v>
      </c>
      <c r="G23">
        <f t="shared" si="2"/>
        <v>0.07709599999361672</v>
      </c>
      <c r="K23">
        <f>+G23</f>
        <v>0.07709599999361672</v>
      </c>
      <c r="O23">
        <f t="shared" si="3"/>
        <v>0.07298593729386753</v>
      </c>
      <c r="Q23" s="2">
        <f t="shared" si="4"/>
        <v>38264.807</v>
      </c>
    </row>
    <row r="24" spans="1:17" ht="12.75">
      <c r="A24" s="14" t="s">
        <v>31</v>
      </c>
      <c r="B24" s="15" t="s">
        <v>30</v>
      </c>
      <c r="C24" s="16">
        <v>53557.4</v>
      </c>
      <c r="D24" s="16">
        <v>0.005</v>
      </c>
      <c r="E24">
        <f t="shared" si="0"/>
        <v>16529.043614821625</v>
      </c>
      <c r="F24">
        <f t="shared" si="1"/>
        <v>16529</v>
      </c>
      <c r="G24">
        <f t="shared" si="2"/>
        <v>0.06754199999704724</v>
      </c>
      <c r="J24">
        <f>+G24</f>
        <v>0.06754199999704724</v>
      </c>
      <c r="O24">
        <f t="shared" si="3"/>
        <v>0.07377183406404303</v>
      </c>
      <c r="Q24" s="2">
        <f t="shared" si="4"/>
        <v>38538.9</v>
      </c>
    </row>
    <row r="25" spans="1:17" ht="12.75">
      <c r="A25" s="9" t="s">
        <v>32</v>
      </c>
      <c r="B25" s="12"/>
      <c r="C25" s="11">
        <v>53619.3491</v>
      </c>
      <c r="D25" s="11">
        <v>0.0029</v>
      </c>
      <c r="E25">
        <f t="shared" si="0"/>
        <v>16569.046856455047</v>
      </c>
      <c r="F25">
        <f t="shared" si="1"/>
        <v>16569</v>
      </c>
      <c r="G25">
        <f t="shared" si="2"/>
        <v>0.07256199999392265</v>
      </c>
      <c r="J25">
        <f>+G25</f>
        <v>0.07256199999392265</v>
      </c>
      <c r="O25">
        <f t="shared" si="3"/>
        <v>0.0739494378539132</v>
      </c>
      <c r="Q25" s="2">
        <f t="shared" si="4"/>
        <v>38600.8491</v>
      </c>
    </row>
    <row r="26" spans="1:17" ht="12.75">
      <c r="A26" s="9" t="s">
        <v>32</v>
      </c>
      <c r="B26" s="12"/>
      <c r="C26" s="11">
        <v>53622.4487</v>
      </c>
      <c r="D26" s="11">
        <v>0.0016</v>
      </c>
      <c r="E26">
        <f t="shared" si="0"/>
        <v>16571.048403656976</v>
      </c>
      <c r="F26">
        <f t="shared" si="1"/>
        <v>16571</v>
      </c>
      <c r="G26">
        <f t="shared" si="2"/>
        <v>0.07495799999742303</v>
      </c>
      <c r="J26">
        <f>+G26</f>
        <v>0.07495799999742303</v>
      </c>
      <c r="O26">
        <f t="shared" si="3"/>
        <v>0.0739583180434067</v>
      </c>
      <c r="Q26" s="2">
        <f t="shared" si="4"/>
        <v>38603.9487</v>
      </c>
    </row>
    <row r="27" spans="1:17" ht="12.75">
      <c r="A27" s="31" t="s">
        <v>40</v>
      </c>
      <c r="B27" s="10" t="s">
        <v>30</v>
      </c>
      <c r="C27" s="11">
        <v>53941.4587</v>
      </c>
      <c r="D27" s="11">
        <v>0.0005</v>
      </c>
      <c r="E27">
        <f t="shared" si="0"/>
        <v>16777.04710442063</v>
      </c>
      <c r="F27">
        <f t="shared" si="1"/>
        <v>16777</v>
      </c>
      <c r="G27">
        <f t="shared" si="2"/>
        <v>0.0729460000002291</v>
      </c>
      <c r="K27">
        <f>+G27</f>
        <v>0.0729460000002291</v>
      </c>
      <c r="O27">
        <f t="shared" si="3"/>
        <v>0.07487297756123806</v>
      </c>
      <c r="Q27" s="2">
        <f t="shared" si="4"/>
        <v>38922.9587</v>
      </c>
    </row>
    <row r="28" spans="1:17" ht="12.75">
      <c r="A28" s="45" t="s">
        <v>89</v>
      </c>
      <c r="B28" s="47" t="s">
        <v>30</v>
      </c>
      <c r="C28" s="46">
        <v>55059.5537</v>
      </c>
      <c r="D28" s="46" t="s">
        <v>51</v>
      </c>
      <c r="E28">
        <f t="shared" si="0"/>
        <v>17499.049917280227</v>
      </c>
      <c r="F28">
        <f t="shared" si="1"/>
        <v>17499</v>
      </c>
      <c r="G28">
        <f t="shared" si="2"/>
        <v>0.07730199999787146</v>
      </c>
      <c r="K28">
        <f>+G28</f>
        <v>0.07730199999787146</v>
      </c>
      <c r="O28">
        <f t="shared" si="3"/>
        <v>0.0780787259683946</v>
      </c>
      <c r="Q28" s="2">
        <f t="shared" si="4"/>
        <v>40041.0537</v>
      </c>
    </row>
    <row r="29" spans="1:17" ht="12.75">
      <c r="A29" s="45" t="s">
        <v>99</v>
      </c>
      <c r="B29" s="47" t="s">
        <v>30</v>
      </c>
      <c r="C29" s="46">
        <v>55844.6987</v>
      </c>
      <c r="D29" s="46" t="s">
        <v>51</v>
      </c>
      <c r="E29">
        <f t="shared" si="0"/>
        <v>18006.052362065915</v>
      </c>
      <c r="F29">
        <f t="shared" si="1"/>
        <v>18006</v>
      </c>
      <c r="G29">
        <f t="shared" si="2"/>
        <v>0.0810879999989993</v>
      </c>
      <c r="K29">
        <f>+G29</f>
        <v>0.0810879999989993</v>
      </c>
      <c r="O29">
        <f t="shared" si="3"/>
        <v>0.08032985400499898</v>
      </c>
      <c r="Q29" s="2">
        <f t="shared" si="4"/>
        <v>40826.1987</v>
      </c>
    </row>
    <row r="30" spans="2:17" ht="12.75">
      <c r="B30" s="3"/>
      <c r="C30" s="13"/>
      <c r="D30" s="13"/>
      <c r="Q30" s="2"/>
    </row>
    <row r="31" spans="2:17" ht="12.75">
      <c r="B31" s="3"/>
      <c r="C31" s="13"/>
      <c r="D31" s="13"/>
      <c r="Q31" s="2"/>
    </row>
    <row r="32" spans="3:17" ht="12.75">
      <c r="C32" s="13"/>
      <c r="D32" s="13"/>
      <c r="Q32" s="2"/>
    </row>
    <row r="33" spans="3:17" ht="12.75">
      <c r="C33" s="13"/>
      <c r="D33" s="13"/>
      <c r="Q33" s="2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0"/>
  <sheetViews>
    <sheetView zoomScalePageLayoutView="0" workbookViewId="0" topLeftCell="A1">
      <selection activeCell="A17" sqref="A17:D19"/>
    </sheetView>
  </sheetViews>
  <sheetFormatPr defaultColWidth="9.140625" defaultRowHeight="12.75"/>
  <cols>
    <col min="1" max="1" width="19.7109375" style="13" customWidth="1"/>
    <col min="2" max="2" width="4.421875" style="8" customWidth="1"/>
    <col min="3" max="3" width="12.7109375" style="13" customWidth="1"/>
    <col min="4" max="4" width="5.421875" style="8" customWidth="1"/>
    <col min="5" max="5" width="14.8515625" style="8" customWidth="1"/>
    <col min="6" max="6" width="9.140625" style="8" customWidth="1"/>
    <col min="7" max="7" width="12.00390625" style="8" customWidth="1"/>
    <col min="8" max="8" width="14.140625" style="13" customWidth="1"/>
    <col min="9" max="9" width="22.5742187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421875" style="8" customWidth="1"/>
    <col min="14" max="14" width="14.140625" style="8" customWidth="1"/>
    <col min="15" max="15" width="23.421875" style="8" customWidth="1"/>
    <col min="16" max="16" width="16.57421875" style="8" customWidth="1"/>
    <col min="17" max="17" width="41.00390625" style="8" customWidth="1"/>
    <col min="18" max="16384" width="9.140625" style="8" customWidth="1"/>
  </cols>
  <sheetData>
    <row r="1" spans="1:10" ht="15.75">
      <c r="A1" s="32" t="s">
        <v>41</v>
      </c>
      <c r="I1" s="33" t="s">
        <v>42</v>
      </c>
      <c r="J1" s="34" t="s">
        <v>43</v>
      </c>
    </row>
    <row r="2" spans="9:10" ht="12.75">
      <c r="I2" s="35" t="s">
        <v>44</v>
      </c>
      <c r="J2" s="36" t="s">
        <v>45</v>
      </c>
    </row>
    <row r="3" spans="1:10" ht="12.75">
      <c r="A3" s="37" t="s">
        <v>46</v>
      </c>
      <c r="I3" s="35" t="s">
        <v>47</v>
      </c>
      <c r="J3" s="36" t="s">
        <v>48</v>
      </c>
    </row>
    <row r="4" spans="9:10" ht="12.75">
      <c r="I4" s="35" t="s">
        <v>49</v>
      </c>
      <c r="J4" s="36" t="s">
        <v>48</v>
      </c>
    </row>
    <row r="5" spans="9:10" ht="13.5" thickBot="1">
      <c r="I5" s="38" t="s">
        <v>50</v>
      </c>
      <c r="J5" s="39" t="s">
        <v>51</v>
      </c>
    </row>
    <row r="11" ht="13.5" thickBot="1"/>
    <row r="12" spans="1:16" ht="12.75" customHeight="1" thickBot="1">
      <c r="A12" s="13" t="str">
        <f aca="true" t="shared" si="0" ref="A12:A19">P12</f>
        <v>IBVS 5653 </v>
      </c>
      <c r="B12" s="3" t="str">
        <f aca="true" t="shared" si="1" ref="B12:B19">IF(H12=INT(H12),"I","II")</f>
        <v>I</v>
      </c>
      <c r="C12" s="13">
        <f aca="true" t="shared" si="2" ref="C12:C19">1*G12</f>
        <v>53283.307</v>
      </c>
      <c r="D12" s="8" t="str">
        <f aca="true" t="shared" si="3" ref="D12:D19">VLOOKUP(F12,I$1:J$5,2,FALSE)</f>
        <v>vis</v>
      </c>
      <c r="E12" s="40">
        <f>VLOOKUP(C12,A!C$21:E$973,3,FALSE)</f>
        <v>16352.049784257026</v>
      </c>
      <c r="F12" s="3" t="s">
        <v>50</v>
      </c>
      <c r="G12" s="8" t="str">
        <f aca="true" t="shared" si="4" ref="G12:G19">MID(I12,3,LEN(I12)-3)</f>
        <v>53283.307</v>
      </c>
      <c r="H12" s="13">
        <f aca="true" t="shared" si="5" ref="H12:H19">1*K12</f>
        <v>16352</v>
      </c>
      <c r="I12" s="41" t="s">
        <v>59</v>
      </c>
      <c r="J12" s="42" t="s">
        <v>60</v>
      </c>
      <c r="K12" s="41">
        <v>16352</v>
      </c>
      <c r="L12" s="41" t="s">
        <v>61</v>
      </c>
      <c r="M12" s="42" t="s">
        <v>55</v>
      </c>
      <c r="N12" s="42" t="s">
        <v>56</v>
      </c>
      <c r="O12" s="43" t="s">
        <v>62</v>
      </c>
      <c r="P12" s="44" t="s">
        <v>63</v>
      </c>
    </row>
    <row r="13" spans="1:16" ht="12.75" customHeight="1" thickBot="1">
      <c r="A13" s="13" t="str">
        <f t="shared" si="0"/>
        <v>IBVS 5713 </v>
      </c>
      <c r="B13" s="3" t="str">
        <f t="shared" si="1"/>
        <v>I</v>
      </c>
      <c r="C13" s="13">
        <f t="shared" si="2"/>
        <v>53557.4</v>
      </c>
      <c r="D13" s="8" t="str">
        <f t="shared" si="3"/>
        <v>vis</v>
      </c>
      <c r="E13" s="40">
        <f>VLOOKUP(C13,A!C$21:E$973,3,FALSE)</f>
        <v>16529.043614821625</v>
      </c>
      <c r="F13" s="3" t="s">
        <v>50</v>
      </c>
      <c r="G13" s="8" t="str">
        <f t="shared" si="4"/>
        <v>53557.400</v>
      </c>
      <c r="H13" s="13">
        <f t="shared" si="5"/>
        <v>16529</v>
      </c>
      <c r="I13" s="41" t="s">
        <v>64</v>
      </c>
      <c r="J13" s="42" t="s">
        <v>65</v>
      </c>
      <c r="K13" s="41">
        <v>16529</v>
      </c>
      <c r="L13" s="41" t="s">
        <v>66</v>
      </c>
      <c r="M13" s="42" t="s">
        <v>55</v>
      </c>
      <c r="N13" s="42" t="s">
        <v>56</v>
      </c>
      <c r="O13" s="43" t="s">
        <v>62</v>
      </c>
      <c r="P13" s="44" t="s">
        <v>67</v>
      </c>
    </row>
    <row r="14" spans="1:16" ht="12.75" customHeight="1" thickBot="1">
      <c r="A14" s="13" t="str">
        <f t="shared" si="0"/>
        <v>BAVM 178 </v>
      </c>
      <c r="B14" s="3" t="str">
        <f t="shared" si="1"/>
        <v>I</v>
      </c>
      <c r="C14" s="13">
        <f t="shared" si="2"/>
        <v>53619.3491</v>
      </c>
      <c r="D14" s="8" t="str">
        <f t="shared" si="3"/>
        <v>vis</v>
      </c>
      <c r="E14" s="40">
        <f>VLOOKUP(C14,A!C$21:E$973,3,FALSE)</f>
        <v>16569.046856455047</v>
      </c>
      <c r="F14" s="3" t="s">
        <v>50</v>
      </c>
      <c r="G14" s="8" t="str">
        <f t="shared" si="4"/>
        <v>53619.3491</v>
      </c>
      <c r="H14" s="13">
        <f t="shared" si="5"/>
        <v>16569</v>
      </c>
      <c r="I14" s="41" t="s">
        <v>68</v>
      </c>
      <c r="J14" s="42" t="s">
        <v>69</v>
      </c>
      <c r="K14" s="41">
        <v>16569</v>
      </c>
      <c r="L14" s="41" t="s">
        <v>70</v>
      </c>
      <c r="M14" s="42" t="s">
        <v>71</v>
      </c>
      <c r="N14" s="42" t="s">
        <v>72</v>
      </c>
      <c r="O14" s="43" t="s">
        <v>73</v>
      </c>
      <c r="P14" s="44" t="s">
        <v>74</v>
      </c>
    </row>
    <row r="15" spans="1:16" ht="12.75" customHeight="1" thickBot="1">
      <c r="A15" s="13" t="str">
        <f t="shared" si="0"/>
        <v>BAVM 178 </v>
      </c>
      <c r="B15" s="3" t="str">
        <f t="shared" si="1"/>
        <v>I</v>
      </c>
      <c r="C15" s="13">
        <f t="shared" si="2"/>
        <v>53622.4487</v>
      </c>
      <c r="D15" s="8" t="str">
        <f t="shared" si="3"/>
        <v>vis</v>
      </c>
      <c r="E15" s="40">
        <f>VLOOKUP(C15,A!C$21:E$973,3,FALSE)</f>
        <v>16571.048403656976</v>
      </c>
      <c r="F15" s="3" t="s">
        <v>50</v>
      </c>
      <c r="G15" s="8" t="str">
        <f t="shared" si="4"/>
        <v>53622.4487</v>
      </c>
      <c r="H15" s="13">
        <f t="shared" si="5"/>
        <v>16571</v>
      </c>
      <c r="I15" s="41" t="s">
        <v>75</v>
      </c>
      <c r="J15" s="42" t="s">
        <v>76</v>
      </c>
      <c r="K15" s="41" t="s">
        <v>77</v>
      </c>
      <c r="L15" s="41" t="s">
        <v>78</v>
      </c>
      <c r="M15" s="42" t="s">
        <v>71</v>
      </c>
      <c r="N15" s="42" t="s">
        <v>72</v>
      </c>
      <c r="O15" s="43" t="s">
        <v>73</v>
      </c>
      <c r="P15" s="44" t="s">
        <v>74</v>
      </c>
    </row>
    <row r="16" spans="1:16" ht="12.75" customHeight="1" thickBot="1">
      <c r="A16" s="13" t="str">
        <f t="shared" si="0"/>
        <v> BBS 133 (=IBVS 5781) </v>
      </c>
      <c r="B16" s="3" t="str">
        <f t="shared" si="1"/>
        <v>I</v>
      </c>
      <c r="C16" s="13">
        <f t="shared" si="2"/>
        <v>53941.4587</v>
      </c>
      <c r="D16" s="8" t="str">
        <f t="shared" si="3"/>
        <v>vis</v>
      </c>
      <c r="E16" s="40">
        <f>VLOOKUP(C16,A!C$21:E$973,3,FALSE)</f>
        <v>16777.04710442063</v>
      </c>
      <c r="F16" s="3" t="s">
        <v>50</v>
      </c>
      <c r="G16" s="8" t="str">
        <f t="shared" si="4"/>
        <v>53941.4587</v>
      </c>
      <c r="H16" s="13">
        <f t="shared" si="5"/>
        <v>16777</v>
      </c>
      <c r="I16" s="41" t="s">
        <v>79</v>
      </c>
      <c r="J16" s="42" t="s">
        <v>80</v>
      </c>
      <c r="K16" s="41" t="s">
        <v>81</v>
      </c>
      <c r="L16" s="41" t="s">
        <v>82</v>
      </c>
      <c r="M16" s="42" t="s">
        <v>71</v>
      </c>
      <c r="N16" s="42" t="s">
        <v>50</v>
      </c>
      <c r="O16" s="43" t="s">
        <v>62</v>
      </c>
      <c r="P16" s="43" t="s">
        <v>83</v>
      </c>
    </row>
    <row r="17" spans="1:16" ht="12.75" customHeight="1" thickBot="1">
      <c r="A17" s="13" t="str">
        <f t="shared" si="0"/>
        <v>BAVM 212 </v>
      </c>
      <c r="B17" s="3" t="str">
        <f t="shared" si="1"/>
        <v>I</v>
      </c>
      <c r="C17" s="13">
        <f t="shared" si="2"/>
        <v>55059.5537</v>
      </c>
      <c r="D17" s="8" t="str">
        <f t="shared" si="3"/>
        <v>vis</v>
      </c>
      <c r="E17" s="40">
        <f>VLOOKUP(C17,A!C$21:E$973,3,FALSE)</f>
        <v>17499.049917280227</v>
      </c>
      <c r="F17" s="3" t="s">
        <v>50</v>
      </c>
      <c r="G17" s="8" t="str">
        <f t="shared" si="4"/>
        <v>55059.5537</v>
      </c>
      <c r="H17" s="13">
        <f t="shared" si="5"/>
        <v>17499</v>
      </c>
      <c r="I17" s="41" t="s">
        <v>84</v>
      </c>
      <c r="J17" s="42" t="s">
        <v>85</v>
      </c>
      <c r="K17" s="41" t="s">
        <v>86</v>
      </c>
      <c r="L17" s="41" t="s">
        <v>87</v>
      </c>
      <c r="M17" s="42" t="s">
        <v>71</v>
      </c>
      <c r="N17" s="42" t="s">
        <v>72</v>
      </c>
      <c r="O17" s="43" t="s">
        <v>88</v>
      </c>
      <c r="P17" s="44" t="s">
        <v>89</v>
      </c>
    </row>
    <row r="18" spans="1:16" ht="12.75" customHeight="1" thickBot="1">
      <c r="A18" s="13" t="str">
        <f t="shared" si="0"/>
        <v>IBVS 6011 </v>
      </c>
      <c r="B18" s="3" t="str">
        <f t="shared" si="1"/>
        <v>I</v>
      </c>
      <c r="C18" s="13">
        <f t="shared" si="2"/>
        <v>55844.6987</v>
      </c>
      <c r="D18" s="8" t="str">
        <f t="shared" si="3"/>
        <v>vis</v>
      </c>
      <c r="E18" s="40">
        <f>VLOOKUP(C18,A!C$21:E$973,3,FALSE)</f>
        <v>18006.052362065915</v>
      </c>
      <c r="F18" s="3" t="s">
        <v>50</v>
      </c>
      <c r="G18" s="8" t="str">
        <f t="shared" si="4"/>
        <v>55844.6987</v>
      </c>
      <c r="H18" s="13">
        <f t="shared" si="5"/>
        <v>18006</v>
      </c>
      <c r="I18" s="41" t="s">
        <v>90</v>
      </c>
      <c r="J18" s="42" t="s">
        <v>91</v>
      </c>
      <c r="K18" s="41" t="s">
        <v>92</v>
      </c>
      <c r="L18" s="41" t="s">
        <v>93</v>
      </c>
      <c r="M18" s="42" t="s">
        <v>71</v>
      </c>
      <c r="N18" s="42" t="s">
        <v>50</v>
      </c>
      <c r="O18" s="43" t="s">
        <v>57</v>
      </c>
      <c r="P18" s="44" t="s">
        <v>94</v>
      </c>
    </row>
    <row r="19" spans="1:16" ht="12.75" customHeight="1" thickBot="1">
      <c r="A19" s="13" t="str">
        <f t="shared" si="0"/>
        <v> BBS 123 </v>
      </c>
      <c r="B19" s="3" t="str">
        <f t="shared" si="1"/>
        <v>I</v>
      </c>
      <c r="C19" s="13">
        <f t="shared" si="2"/>
        <v>51810.583</v>
      </c>
      <c r="D19" s="8" t="str">
        <f t="shared" si="3"/>
        <v>vis</v>
      </c>
      <c r="E19" s="40">
        <f>VLOOKUP(C19,A!C$21:E$973,3,FALSE)</f>
        <v>15401.047525445529</v>
      </c>
      <c r="F19" s="3" t="s">
        <v>50</v>
      </c>
      <c r="G19" s="8" t="str">
        <f t="shared" si="4"/>
        <v>51810.583</v>
      </c>
      <c r="H19" s="13">
        <f t="shared" si="5"/>
        <v>15401</v>
      </c>
      <c r="I19" s="41" t="s">
        <v>52</v>
      </c>
      <c r="J19" s="42" t="s">
        <v>53</v>
      </c>
      <c r="K19" s="41">
        <v>15401</v>
      </c>
      <c r="L19" s="41" t="s">
        <v>54</v>
      </c>
      <c r="M19" s="42" t="s">
        <v>55</v>
      </c>
      <c r="N19" s="42" t="s">
        <v>56</v>
      </c>
      <c r="O19" s="43" t="s">
        <v>57</v>
      </c>
      <c r="P19" s="43" t="s">
        <v>58</v>
      </c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</sheetData>
  <sheetProtection/>
  <hyperlinks>
    <hyperlink ref="P12" r:id="rId1" display="http://www.konkoly.hu/cgi-bin/IBVS?5653"/>
    <hyperlink ref="P13" r:id="rId2" display="http://www.konkoly.hu/cgi-bin/IBVS?5713"/>
    <hyperlink ref="P14" r:id="rId3" display="http://www.bav-astro.de/sfs/BAVM_link.php?BAVMnr=178"/>
    <hyperlink ref="P15" r:id="rId4" display="http://www.bav-astro.de/sfs/BAVM_link.php?BAVMnr=178"/>
    <hyperlink ref="P17" r:id="rId5" display="http://www.bav-astro.de/sfs/BAVM_link.php?BAVMnr=212"/>
    <hyperlink ref="P18" r:id="rId6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