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F67DA14-7D29-47CB-AF96-5334AE666D6D}" xr6:coauthVersionLast="47" xr6:coauthVersionMax="47" xr10:uidLastSave="{00000000-0000-0000-0000-000000000000}"/>
  <bookViews>
    <workbookView xWindow="14505" yWindow="480" windowWidth="13470" windowHeight="1456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6" i="1" l="1"/>
  <c r="F56" i="1" s="1"/>
  <c r="G56" i="1" s="1"/>
  <c r="I56" i="1" s="1"/>
  <c r="Q56" i="1"/>
  <c r="E57" i="1"/>
  <c r="F57" i="1" s="1"/>
  <c r="G57" i="1" s="1"/>
  <c r="I57" i="1" s="1"/>
  <c r="Q57" i="1"/>
  <c r="E58" i="1"/>
  <c r="F58" i="1"/>
  <c r="G58" i="1" s="1"/>
  <c r="I58" i="1" s="1"/>
  <c r="Q58" i="1"/>
  <c r="E59" i="1"/>
  <c r="F59" i="1" s="1"/>
  <c r="G59" i="1" s="1"/>
  <c r="I59" i="1" s="1"/>
  <c r="Q59" i="1"/>
  <c r="E23" i="1"/>
  <c r="F23" i="1" s="1"/>
  <c r="G23" i="1" s="1"/>
  <c r="I23" i="1" s="1"/>
  <c r="Q23" i="1"/>
  <c r="E25" i="1"/>
  <c r="F25" i="1"/>
  <c r="G25" i="1" s="1"/>
  <c r="I25" i="1" s="1"/>
  <c r="Q25" i="1"/>
  <c r="E28" i="1"/>
  <c r="F28" i="1" s="1"/>
  <c r="G28" i="1" s="1"/>
  <c r="I28" i="1" s="1"/>
  <c r="Q28" i="1"/>
  <c r="E30" i="1"/>
  <c r="F30" i="1" s="1"/>
  <c r="G30" i="1" s="1"/>
  <c r="I30" i="1" s="1"/>
  <c r="Q30" i="1"/>
  <c r="E34" i="1"/>
  <c r="F34" i="1" s="1"/>
  <c r="G34" i="1" s="1"/>
  <c r="I34" i="1" s="1"/>
  <c r="Q34" i="1"/>
  <c r="E35" i="1"/>
  <c r="F35" i="1"/>
  <c r="G35" i="1" s="1"/>
  <c r="I35" i="1" s="1"/>
  <c r="Q35" i="1"/>
  <c r="E38" i="1"/>
  <c r="F38" i="1" s="1"/>
  <c r="G38" i="1" s="1"/>
  <c r="I38" i="1" s="1"/>
  <c r="Q38" i="1"/>
  <c r="E39" i="1"/>
  <c r="F39" i="1"/>
  <c r="G39" i="1"/>
  <c r="I39" i="1" s="1"/>
  <c r="Q39" i="1"/>
  <c r="E41" i="1"/>
  <c r="F41" i="1" s="1"/>
  <c r="G41" i="1" s="1"/>
  <c r="I41" i="1" s="1"/>
  <c r="Q41" i="1"/>
  <c r="E45" i="1"/>
  <c r="F45" i="1" s="1"/>
  <c r="G45" i="1" s="1"/>
  <c r="I45" i="1" s="1"/>
  <c r="Q45" i="1"/>
  <c r="E46" i="1"/>
  <c r="F46" i="1" s="1"/>
  <c r="G46" i="1" s="1"/>
  <c r="I46" i="1" s="1"/>
  <c r="Q46" i="1"/>
  <c r="E47" i="1"/>
  <c r="F47" i="1"/>
  <c r="G47" i="1"/>
  <c r="I47" i="1" s="1"/>
  <c r="Q47" i="1"/>
  <c r="E48" i="1"/>
  <c r="F48" i="1" s="1"/>
  <c r="G48" i="1" s="1"/>
  <c r="I48" i="1" s="1"/>
  <c r="Q48" i="1"/>
  <c r="E49" i="1"/>
  <c r="F49" i="1"/>
  <c r="G49" i="1" s="1"/>
  <c r="I49" i="1" s="1"/>
  <c r="Q49" i="1"/>
  <c r="E51" i="1"/>
  <c r="F51" i="1" s="1"/>
  <c r="G51" i="1" s="1"/>
  <c r="I51" i="1" s="1"/>
  <c r="Q51" i="1"/>
  <c r="E52" i="1"/>
  <c r="F52" i="1" s="1"/>
  <c r="G52" i="1" s="1"/>
  <c r="I52" i="1" s="1"/>
  <c r="Q52" i="1"/>
  <c r="E53" i="1"/>
  <c r="F53" i="1" s="1"/>
  <c r="G53" i="1" s="1"/>
  <c r="I53" i="1" s="1"/>
  <c r="Q53" i="1"/>
  <c r="E54" i="1"/>
  <c r="F54" i="1"/>
  <c r="G54" i="1" s="1"/>
  <c r="I54" i="1" s="1"/>
  <c r="Q54" i="1"/>
  <c r="E55" i="1"/>
  <c r="F55" i="1" s="1"/>
  <c r="G55" i="1" s="1"/>
  <c r="I55" i="1" s="1"/>
  <c r="Q55" i="1"/>
  <c r="E50" i="1"/>
  <c r="F50" i="1" s="1"/>
  <c r="G50" i="1" s="1"/>
  <c r="I50" i="1" s="1"/>
  <c r="Q50" i="1"/>
  <c r="Q42" i="1"/>
  <c r="E43" i="1"/>
  <c r="F43" i="1"/>
  <c r="G43" i="1" s="1"/>
  <c r="K43" i="1" s="1"/>
  <c r="E44" i="1"/>
  <c r="F44" i="1" s="1"/>
  <c r="G44" i="1" s="1"/>
  <c r="K44" i="1" s="1"/>
  <c r="E40" i="1"/>
  <c r="F40" i="1"/>
  <c r="G40" i="1" s="1"/>
  <c r="K40" i="1" s="1"/>
  <c r="E42" i="1"/>
  <c r="F42" i="1" s="1"/>
  <c r="G42" i="1" s="1"/>
  <c r="K42" i="1" s="1"/>
  <c r="C21" i="1"/>
  <c r="E16" i="2" s="1"/>
  <c r="E32" i="1"/>
  <c r="F32" i="1"/>
  <c r="G32" i="1" s="1"/>
  <c r="J32" i="1" s="1"/>
  <c r="E33" i="1"/>
  <c r="F33" i="1"/>
  <c r="G33" i="1" s="1"/>
  <c r="J33" i="1" s="1"/>
  <c r="E36" i="1"/>
  <c r="F36" i="1"/>
  <c r="G36" i="1"/>
  <c r="J36" i="1" s="1"/>
  <c r="E37" i="1"/>
  <c r="F37" i="1" s="1"/>
  <c r="G37" i="1" s="1"/>
  <c r="J37" i="1" s="1"/>
  <c r="Q40" i="1"/>
  <c r="Q44" i="1"/>
  <c r="Q43" i="1"/>
  <c r="E24" i="1"/>
  <c r="F24" i="1" s="1"/>
  <c r="G24" i="1" s="1"/>
  <c r="K24" i="1" s="1"/>
  <c r="E22" i="1"/>
  <c r="F22" i="1"/>
  <c r="G22" i="1" s="1"/>
  <c r="K22" i="1" s="1"/>
  <c r="D9" i="1"/>
  <c r="C9" i="1"/>
  <c r="E26" i="1"/>
  <c r="F26" i="1" s="1"/>
  <c r="G26" i="1" s="1"/>
  <c r="J26" i="1" s="1"/>
  <c r="E29" i="1"/>
  <c r="F29" i="1" s="1"/>
  <c r="G29" i="1" s="1"/>
  <c r="J29" i="1" s="1"/>
  <c r="E31" i="1"/>
  <c r="F31" i="1"/>
  <c r="G31" i="1" s="1"/>
  <c r="J31" i="1" s="1"/>
  <c r="E27" i="1"/>
  <c r="F27" i="1" s="1"/>
  <c r="U27" i="1" s="1"/>
  <c r="Q24" i="1"/>
  <c r="Q22" i="1"/>
  <c r="G19" i="2"/>
  <c r="C19" i="2" s="1"/>
  <c r="E19" i="2" s="1"/>
  <c r="G18" i="2"/>
  <c r="C18" i="2" s="1"/>
  <c r="E18" i="2" s="1"/>
  <c r="G17" i="2"/>
  <c r="C17" i="2" s="1"/>
  <c r="G16" i="2"/>
  <c r="C16" i="2"/>
  <c r="G15" i="2"/>
  <c r="C15" i="2" s="1"/>
  <c r="E15" i="2" s="1"/>
  <c r="G14" i="2"/>
  <c r="C14" i="2"/>
  <c r="E14" i="2" s="1"/>
  <c r="G13" i="2"/>
  <c r="C13" i="2"/>
  <c r="G12" i="2"/>
  <c r="C12" i="2"/>
  <c r="G20" i="2"/>
  <c r="C20" i="2" s="1"/>
  <c r="G21" i="2"/>
  <c r="C21" i="2" s="1"/>
  <c r="E21" i="2" s="1"/>
  <c r="H19" i="2"/>
  <c r="B19" i="2" s="1"/>
  <c r="D19" i="2"/>
  <c r="A19" i="2"/>
  <c r="H18" i="2"/>
  <c r="B18" i="2" s="1"/>
  <c r="D18" i="2"/>
  <c r="A18" i="2"/>
  <c r="H17" i="2"/>
  <c r="B17" i="2" s="1"/>
  <c r="D17" i="2"/>
  <c r="A17" i="2"/>
  <c r="H16" i="2"/>
  <c r="B16" i="2" s="1"/>
  <c r="D16" i="2"/>
  <c r="A16" i="2"/>
  <c r="H15" i="2"/>
  <c r="B15" i="2" s="1"/>
  <c r="D15" i="2"/>
  <c r="A15" i="2"/>
  <c r="H14" i="2"/>
  <c r="B14" i="2" s="1"/>
  <c r="D14" i="2"/>
  <c r="A14" i="2"/>
  <c r="H13" i="2"/>
  <c r="B13" i="2" s="1"/>
  <c r="D13" i="2"/>
  <c r="A13" i="2"/>
  <c r="H12" i="2"/>
  <c r="B12" i="2" s="1"/>
  <c r="D12" i="2"/>
  <c r="A12" i="2"/>
  <c r="H20" i="2"/>
  <c r="B20" i="2" s="1"/>
  <c r="D20" i="2"/>
  <c r="A20" i="2"/>
  <c r="H21" i="2"/>
  <c r="B21" i="2" s="1"/>
  <c r="D21" i="2"/>
  <c r="A21" i="2"/>
  <c r="Q29" i="1"/>
  <c r="Q37" i="1"/>
  <c r="Q27" i="1"/>
  <c r="Q32" i="1"/>
  <c r="Q33" i="1"/>
  <c r="Q36" i="1"/>
  <c r="Q31" i="1"/>
  <c r="Q26" i="1"/>
  <c r="F16" i="1"/>
  <c r="F17" i="1" s="1"/>
  <c r="C17" i="1"/>
  <c r="E21" i="1"/>
  <c r="F21" i="1" s="1"/>
  <c r="E20" i="2" l="1"/>
  <c r="E12" i="2"/>
  <c r="E13" i="2"/>
  <c r="E17" i="2"/>
  <c r="G21" i="1"/>
  <c r="Q21" i="1"/>
  <c r="C12" i="1"/>
  <c r="C11" i="1"/>
  <c r="O58" i="1" l="1"/>
  <c r="O57" i="1"/>
  <c r="O56" i="1"/>
  <c r="O59" i="1"/>
  <c r="O28" i="1"/>
  <c r="O38" i="1"/>
  <c r="O46" i="1"/>
  <c r="O51" i="1"/>
  <c r="O55" i="1"/>
  <c r="O48" i="1"/>
  <c r="O25" i="1"/>
  <c r="O35" i="1"/>
  <c r="O45" i="1"/>
  <c r="O49" i="1"/>
  <c r="O54" i="1"/>
  <c r="O23" i="1"/>
  <c r="O34" i="1"/>
  <c r="O41" i="1"/>
  <c r="O53" i="1"/>
  <c r="O30" i="1"/>
  <c r="O39" i="1"/>
  <c r="O47" i="1"/>
  <c r="O52" i="1"/>
  <c r="O26" i="1"/>
  <c r="O27" i="1"/>
  <c r="O22" i="1"/>
  <c r="O36" i="1"/>
  <c r="O31" i="1"/>
  <c r="O40" i="1"/>
  <c r="O42" i="1"/>
  <c r="O21" i="1"/>
  <c r="O37" i="1"/>
  <c r="O29" i="1"/>
  <c r="O24" i="1"/>
  <c r="O44" i="1"/>
  <c r="O43" i="1"/>
  <c r="O33" i="1"/>
  <c r="O32" i="1"/>
  <c r="O50" i="1"/>
  <c r="C15" i="1"/>
  <c r="C16" i="1"/>
  <c r="D18" i="1" s="1"/>
  <c r="I21" i="1"/>
  <c r="C18" i="1" l="1"/>
  <c r="F18" i="1"/>
  <c r="F19" i="1" s="1"/>
</calcChain>
</file>

<file path=xl/sharedStrings.xml><?xml version="1.0" encoding="utf-8"?>
<sst xmlns="http://schemas.openxmlformats.org/spreadsheetml/2006/main" count="226" uniqueCount="112">
  <si>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</si>
  <si>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</si>
  <si>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</si>
  <si>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</si>
  <si>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</si>
  <si>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</si>
  <si>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</si>
  <si>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</si>
  <si>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</si>
  <si>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</si>
  <si>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</si>
  <si>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</si>
  <si>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</si>
  <si>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</si>
  <si>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</si>
  <si>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</si>
  <si>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</si>
  <si>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</si>
  <si>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</si>
  <si>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</si>
  <si>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</si>
  <si>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</si>
  <si>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</si>
  <si>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</si>
  <si>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</si>
  <si>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</si>
  <si>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</si>
  <si>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</si>
  <si>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</si>
  <si>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</si>
  <si>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</si>
  <si>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</si>
  <si>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</si>
  <si>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</si>
  <si>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</si>
  <si>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</si>
  <si>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</si>
  <si>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</si>
  <si>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</si>
  <si>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</si>
  <si>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</si>
  <si>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V1877 Cyg / GSC 2696-3393</t>
  </si>
  <si>
    <t>EW</t>
  </si>
  <si>
    <t>IBVS 5918</t>
  </si>
  <si>
    <t>I</t>
  </si>
  <si>
    <t>IBVS 6070</t>
  </si>
  <si>
    <t>II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</si>
  <si>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</si>
  <si>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</si>
  <si>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</si>
  <si>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</si>
  <si>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</si>
  <si>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</si>
  <si>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</si>
  <si>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</si>
  <si>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</si>
  <si>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</si>
  <si>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</si>
  <si>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</si>
  <si>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</si>
  <si>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</si>
  <si>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2454663.5469 </t>
  </si>
  <si>
    <t> 16.07.2008 01:07 </t>
  </si>
  <si>
    <t> -0.0241 </t>
  </si>
  <si>
    <t>C </t>
  </si>
  <si>
    <t>-I</t>
  </si>
  <si>
    <t> P.Frank </t>
  </si>
  <si>
    <t>BAVM 203 </t>
  </si>
  <si>
    <t>2454682.5143 </t>
  </si>
  <si>
    <t> 04.08.2008 00:20 </t>
  </si>
  <si>
    <t>2705</t>
  </si>
  <si>
    <t> -0.0126 </t>
  </si>
  <si>
    <t>2454705.5069 </t>
  </si>
  <si>
    <t> 27.08.2008 00:09 </t>
  </si>
  <si>
    <t>2733.5</t>
  </si>
  <si>
    <t> -0.0089 </t>
  </si>
  <si>
    <t>BAVM 209 </t>
  </si>
  <si>
    <t>2455050.3641 </t>
  </si>
  <si>
    <t> 06.08.2009 20:44 </t>
  </si>
  <si>
    <t>3161</t>
  </si>
  <si>
    <t> 0.0135 </t>
  </si>
  <si>
    <t>BAVM 234 </t>
  </si>
  <si>
    <t>2455480.3234 </t>
  </si>
  <si>
    <t> 10.10.2010 19:45 </t>
  </si>
  <si>
    <t>3694</t>
  </si>
  <si>
    <t> 0.0385 </t>
  </si>
  <si>
    <t>o</t>
  </si>
  <si>
    <t>BAVM 215 </t>
  </si>
  <si>
    <t>2456159.4428 </t>
  </si>
  <si>
    <t> 19.08.2012 22:37 </t>
  </si>
  <si>
    <t>4536</t>
  </si>
  <si>
    <t> -0.0254 </t>
  </si>
  <si>
    <t>BAVM 231 </t>
  </si>
  <si>
    <t>2456650.3159 </t>
  </si>
  <si>
    <t> 23.12.2013 19:34 </t>
  </si>
  <si>
    <t>5144.5</t>
  </si>
  <si>
    <t> 0.0127 </t>
  </si>
  <si>
    <t>2456654.336 </t>
  </si>
  <si>
    <t> 27.12.2013 20:03 </t>
  </si>
  <si>
    <t>5149.5</t>
  </si>
  <si>
    <t> -0.000 </t>
  </si>
  <si>
    <t>2456657.214 </t>
  </si>
  <si>
    <t> 30.12.2013 17:08 </t>
  </si>
  <si>
    <t>5153</t>
  </si>
  <si>
    <t> 0.054 </t>
  </si>
  <si>
    <t>2456937.4254 </t>
  </si>
  <si>
    <t> 06.10.2014 22:12 </t>
  </si>
  <si>
    <t>5500.5</t>
  </si>
  <si>
    <t> -0.0384 </t>
  </si>
  <si>
    <t>BAVM 239 </t>
  </si>
  <si>
    <t>JBAV, 60</t>
  </si>
  <si>
    <t>JBAV,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</si>
</sst>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7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/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6" fillId="0" borderId="0" xfId="42" applyFont="1" applyAlignment="1">
      <alignment wrapText="1"/>
    </xf>
    <xf numFmtId="0" fontId="16" fillId="0" borderId="0" xfId="42" applyFont="1" applyAlignment="1">
      <alignment horizontal="center" wrapText="1"/>
    </xf>
    <xf numFmtId="0" fontId="16" fillId="0" borderId="0" xfId="42" applyFont="1" applyAlignment="1">
      <alignment horizontal="left" wrapText="1"/>
    </xf>
    <xf numFmtId="0" fontId="36" fillId="0" borderId="0" xfId="43" applyFont="1" applyAlignment="1">
      <alignment horizontal="left"/>
    </xf>
    <xf numFmtId="0" fontId="36" fillId="0" borderId="0" xfId="43" applyFont="1" applyAlignment="1">
      <alignment horizontal="left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5" fontId="38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left"/>
    </xf>
    <xf numFmtId="165" fontId="20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 wrapText="1"/>
    </xf>
    <xf numFmtId="165" fontId="16" fillId="0" borderId="0" xfId="42" applyNumberFormat="1" applyFont="1" applyAlignment="1">
      <alignment horizontal="left" wrapText="1"/>
    </xf>
    <xf numFmtId="165" fontId="36" fillId="0" borderId="0" xfId="43" applyNumberFormat="1" applyFont="1" applyAlignment="1">
      <alignment horizontal="left" wrapText="1"/>
    </xf>
    <xf numFmtId="165" fontId="38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V1877 Cyg - O-C Diagr.</a:t>
            </a:r>
          </a:p>
        </c:rich>
      </c:tx>
      <c:layout>
        <c:manualLayout>
          <c:xMode val="edge"/>
          <c:yMode val="edge"/>
          <c:x val="0.3979357798165137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568807339449"/>
          <c:y val="0.14035127795846455"/>
          <c:w val="0.8520642201834862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94-4D6C-9A32-66FC6AB7970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2">
                  <c:v>3.4070000037900172E-3</c:v>
                </c:pt>
                <c:pt idx="4">
                  <c:v>3.3454999938840047E-3</c:v>
                </c:pt>
                <c:pt idx="7">
                  <c:v>5.5749999955878593E-3</c:v>
                </c:pt>
                <c:pt idx="9">
                  <c:v>1.0071499993500765E-2</c:v>
                </c:pt>
                <c:pt idx="13">
                  <c:v>1.3942499994300306E-2</c:v>
                </c:pt>
                <c:pt idx="14">
                  <c:v>1.3497499996447004E-2</c:v>
                </c:pt>
                <c:pt idx="17">
                  <c:v>1.765999999770429E-2</c:v>
                </c:pt>
                <c:pt idx="18">
                  <c:v>1.6158999998879153E-2</c:v>
                </c:pt>
                <c:pt idx="20">
                  <c:v>1.7151499996543862E-2</c:v>
                </c:pt>
                <c:pt idx="24">
                  <c:v>1.763849999406375E-2</c:v>
                </c:pt>
                <c:pt idx="25">
                  <c:v>1.9959499994001817E-2</c:v>
                </c:pt>
                <c:pt idx="26">
                  <c:v>2.1854500002518762E-2</c:v>
                </c:pt>
                <c:pt idx="27">
                  <c:v>2.1980499994242564E-2</c:v>
                </c:pt>
                <c:pt idx="28">
                  <c:v>1.8150999996578321E-2</c:v>
                </c:pt>
                <c:pt idx="29">
                  <c:v>2.1673499999451451E-2</c:v>
                </c:pt>
                <c:pt idx="30">
                  <c:v>2.8200999993714504E-2</c:v>
                </c:pt>
                <c:pt idx="31">
                  <c:v>4.1164499998558313E-2</c:v>
                </c:pt>
                <c:pt idx="32">
                  <c:v>3.9227499997650739E-2</c:v>
                </c:pt>
                <c:pt idx="33">
                  <c:v>3.8436499999079388E-2</c:v>
                </c:pt>
                <c:pt idx="34">
                  <c:v>3.9099499997973908E-2</c:v>
                </c:pt>
                <c:pt idx="35">
                  <c:v>4.4950999996217433E-2</c:v>
                </c:pt>
                <c:pt idx="36">
                  <c:v>4.3582999998761807E-2</c:v>
                </c:pt>
                <c:pt idx="37">
                  <c:v>4.1783499997109175E-2</c:v>
                </c:pt>
                <c:pt idx="38">
                  <c:v>4.4887500000186265E-2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94-4D6C-9A32-66FC6AB7970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5">
                  <c:v>4.7469999990426004E-3</c:v>
                </c:pt>
                <c:pt idx="8">
                  <c:v>5.6750000003376044E-3</c:v>
                </c:pt>
                <c:pt idx="10">
                  <c:v>1.1871499991684686E-2</c:v>
                </c:pt>
                <c:pt idx="11">
                  <c:v>1.5165500000875909E-2</c:v>
                </c:pt>
                <c:pt idx="12">
                  <c:v>1.1742499998945277E-2</c:v>
                </c:pt>
                <c:pt idx="15">
                  <c:v>1.5797499996551778E-2</c:v>
                </c:pt>
                <c:pt idx="16">
                  <c:v>1.7560000000230502E-2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94-4D6C-9A32-66FC6AB7970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4.3440000008558854E-3</c:v>
                </c:pt>
                <c:pt idx="3">
                  <c:v>3.7070000034873374E-3</c:v>
                </c:pt>
                <c:pt idx="19">
                  <c:v>1.7558999992616009E-2</c:v>
                </c:pt>
                <c:pt idx="21">
                  <c:v>1.8551499997556675E-2</c:v>
                </c:pt>
                <c:pt idx="22">
                  <c:v>1.7968000000109896E-2</c:v>
                </c:pt>
                <c:pt idx="23">
                  <c:v>1.7538499996589962E-2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94-4D6C-9A32-66FC6AB7970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94-4D6C-9A32-66FC6AB7970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94-4D6C-9A32-66FC6AB7970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4.1999999999999997E-3</c:v>
                  </c:pt>
                  <c:pt idx="3">
                    <c:v>0</c:v>
                  </c:pt>
                  <c:pt idx="4">
                    <c:v>3.5000000000000001E-3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3.5000000000000001E-3</c:v>
                  </c:pt>
                  <c:pt idx="8">
                    <c:v>4.0000000000000002E-4</c:v>
                  </c:pt>
                  <c:pt idx="9">
                    <c:v>3.5000000000000001E-3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5.9999999999999995E-4</c:v>
                  </c:pt>
                  <c:pt idx="13">
                    <c:v>4.1999999999999997E-3</c:v>
                  </c:pt>
                  <c:pt idx="14">
                    <c:v>3.5000000000000001E-3</c:v>
                  </c:pt>
                  <c:pt idx="15">
                    <c:v>8.9999999999999998E-4</c:v>
                  </c:pt>
                  <c:pt idx="16">
                    <c:v>2.8E-3</c:v>
                  </c:pt>
                  <c:pt idx="17">
                    <c:v>4.8999999999999998E-3</c:v>
                  </c:pt>
                  <c:pt idx="18">
                    <c:v>4.1999999999999997E-3</c:v>
                  </c:pt>
                  <c:pt idx="19">
                    <c:v>6.9999999999999999E-4</c:v>
                  </c:pt>
                  <c:pt idx="20">
                    <c:v>3.5000000000000001E-3</c:v>
                  </c:pt>
                  <c:pt idx="21">
                    <c:v>8.0000000000000004E-4</c:v>
                  </c:pt>
                  <c:pt idx="22">
                    <c:v>4.0000000000000002E-4</c:v>
                  </c:pt>
                  <c:pt idx="23">
                    <c:v>5.9999999999999995E-4</c:v>
                  </c:pt>
                  <c:pt idx="24">
                    <c:v>3.5000000000000001E-3</c:v>
                  </c:pt>
                  <c:pt idx="25">
                    <c:v>3.5000000000000001E-3</c:v>
                  </c:pt>
                  <c:pt idx="26">
                    <c:v>3.5000000000000001E-3</c:v>
                  </c:pt>
                  <c:pt idx="27">
                    <c:v>3.5000000000000001E-3</c:v>
                  </c:pt>
                  <c:pt idx="28">
                    <c:v>6.8999999999999999E-3</c:v>
                  </c:pt>
                  <c:pt idx="29">
                    <c:v>3.7000000000000002E-3</c:v>
                  </c:pt>
                  <c:pt idx="30">
                    <c:v>4.3E-3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F94-4D6C-9A32-66FC6AB7970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-2.6310249950126027E-3</c:v>
                </c:pt>
                <c:pt idx="1">
                  <c:v>3.5390721314090649E-5</c:v>
                </c:pt>
                <c:pt idx="2">
                  <c:v>1.8107237468955586E-4</c:v>
                </c:pt>
                <c:pt idx="3">
                  <c:v>1.8107237468955586E-4</c:v>
                </c:pt>
                <c:pt idx="4">
                  <c:v>1.9652345913846866E-4</c:v>
                </c:pt>
                <c:pt idx="5">
                  <c:v>3.5765619696284667E-4</c:v>
                </c:pt>
                <c:pt idx="6">
                  <c:v>3.006413531062211E-3</c:v>
                </c:pt>
                <c:pt idx="7">
                  <c:v>6.3085310075727524E-3</c:v>
                </c:pt>
                <c:pt idx="8">
                  <c:v>6.3085310075727524E-3</c:v>
                </c:pt>
                <c:pt idx="9">
                  <c:v>1.1524375657970083E-2</c:v>
                </c:pt>
                <c:pt idx="10">
                  <c:v>1.1524375657970083E-2</c:v>
                </c:pt>
                <c:pt idx="11">
                  <c:v>1.5294440263504846E-2</c:v>
                </c:pt>
                <c:pt idx="12">
                  <c:v>1.5325342432402671E-2</c:v>
                </c:pt>
                <c:pt idx="13">
                  <c:v>1.5325342432402671E-2</c:v>
                </c:pt>
                <c:pt idx="14">
                  <c:v>1.5347415410186832E-2</c:v>
                </c:pt>
                <c:pt idx="15">
                  <c:v>1.5347415410186832E-2</c:v>
                </c:pt>
                <c:pt idx="16">
                  <c:v>1.7499530744142566E-2</c:v>
                </c:pt>
                <c:pt idx="17">
                  <c:v>1.7499530744142566E-2</c:v>
                </c:pt>
                <c:pt idx="18">
                  <c:v>2.0188019438253421E-2</c:v>
                </c:pt>
                <c:pt idx="19">
                  <c:v>2.0188019438253421E-2</c:v>
                </c:pt>
                <c:pt idx="20">
                  <c:v>2.0265274860497985E-2</c:v>
                </c:pt>
                <c:pt idx="21">
                  <c:v>2.0265274860497985E-2</c:v>
                </c:pt>
                <c:pt idx="22">
                  <c:v>2.0271896753833233E-2</c:v>
                </c:pt>
                <c:pt idx="23">
                  <c:v>2.0340322984964136E-2</c:v>
                </c:pt>
                <c:pt idx="24">
                  <c:v>2.0340322984964136E-2</c:v>
                </c:pt>
                <c:pt idx="25">
                  <c:v>2.3037640870188652E-2</c:v>
                </c:pt>
                <c:pt idx="26">
                  <c:v>2.3236297670246105E-2</c:v>
                </c:pt>
                <c:pt idx="27">
                  <c:v>2.3527660976997034E-2</c:v>
                </c:pt>
                <c:pt idx="28">
                  <c:v>2.3596087208127937E-2</c:v>
                </c:pt>
                <c:pt idx="29">
                  <c:v>2.5571618719810379E-2</c:v>
                </c:pt>
                <c:pt idx="30">
                  <c:v>3.352892721100055E-2</c:v>
                </c:pt>
                <c:pt idx="31">
                  <c:v>3.6524230296311251E-2</c:v>
                </c:pt>
                <c:pt idx="32">
                  <c:v>3.6669911949686718E-2</c:v>
                </c:pt>
                <c:pt idx="33">
                  <c:v>3.6753789265266526E-2</c:v>
                </c:pt>
                <c:pt idx="34">
                  <c:v>3.6899470918641993E-2</c:v>
                </c:pt>
                <c:pt idx="35">
                  <c:v>3.9488631212724119E-2</c:v>
                </c:pt>
                <c:pt idx="36">
                  <c:v>3.9541606359406109E-2</c:v>
                </c:pt>
                <c:pt idx="37">
                  <c:v>3.9742470457241975E-2</c:v>
                </c:pt>
                <c:pt idx="38">
                  <c:v>4.002500457287924E-2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94-4D6C-9A32-66FC6AB7970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604</c:v>
                </c:pt>
                <c:pt idx="2">
                  <c:v>637</c:v>
                </c:pt>
                <c:pt idx="3">
                  <c:v>637</c:v>
                </c:pt>
                <c:pt idx="4">
                  <c:v>640.5</c:v>
                </c:pt>
                <c:pt idx="5">
                  <c:v>677</c:v>
                </c:pt>
                <c:pt idx="6">
                  <c:v>1277</c:v>
                </c:pt>
                <c:pt idx="7">
                  <c:v>2025</c:v>
                </c:pt>
                <c:pt idx="8">
                  <c:v>2025</c:v>
                </c:pt>
                <c:pt idx="9">
                  <c:v>3206.5</c:v>
                </c:pt>
                <c:pt idx="10">
                  <c:v>3206.5</c:v>
                </c:pt>
                <c:pt idx="11">
                  <c:v>4060.5</c:v>
                </c:pt>
                <c:pt idx="12">
                  <c:v>4067.5</c:v>
                </c:pt>
                <c:pt idx="13">
                  <c:v>4067.5</c:v>
                </c:pt>
                <c:pt idx="14">
                  <c:v>4072.5</c:v>
                </c:pt>
                <c:pt idx="15">
                  <c:v>4072.5</c:v>
                </c:pt>
                <c:pt idx="16">
                  <c:v>4560</c:v>
                </c:pt>
                <c:pt idx="17">
                  <c:v>4560</c:v>
                </c:pt>
                <c:pt idx="18">
                  <c:v>5169</c:v>
                </c:pt>
                <c:pt idx="19">
                  <c:v>5169</c:v>
                </c:pt>
                <c:pt idx="20">
                  <c:v>5186.5</c:v>
                </c:pt>
                <c:pt idx="21">
                  <c:v>5186.5</c:v>
                </c:pt>
                <c:pt idx="22">
                  <c:v>5188</c:v>
                </c:pt>
                <c:pt idx="23">
                  <c:v>5203.5</c:v>
                </c:pt>
                <c:pt idx="24">
                  <c:v>5203.5</c:v>
                </c:pt>
                <c:pt idx="25">
                  <c:v>5814.5</c:v>
                </c:pt>
                <c:pt idx="26">
                  <c:v>5859.5</c:v>
                </c:pt>
                <c:pt idx="27">
                  <c:v>5925.5</c:v>
                </c:pt>
                <c:pt idx="28">
                  <c:v>5941</c:v>
                </c:pt>
                <c:pt idx="29">
                  <c:v>6388.5</c:v>
                </c:pt>
                <c:pt idx="30">
                  <c:v>8191</c:v>
                </c:pt>
                <c:pt idx="31">
                  <c:v>8869.5</c:v>
                </c:pt>
                <c:pt idx="32">
                  <c:v>8902.5</c:v>
                </c:pt>
                <c:pt idx="33">
                  <c:v>8921.5</c:v>
                </c:pt>
                <c:pt idx="34">
                  <c:v>8954.5</c:v>
                </c:pt>
                <c:pt idx="35">
                  <c:v>9541</c:v>
                </c:pt>
                <c:pt idx="36">
                  <c:v>9553</c:v>
                </c:pt>
                <c:pt idx="37">
                  <c:v>9598.5</c:v>
                </c:pt>
                <c:pt idx="38">
                  <c:v>9662.5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6">
                  <c:v>-1.1453000006440561E-2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F94-4D6C-9A32-66FC6AB7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379232"/>
        <c:axId val="1"/>
      </c:scatterChart>
      <c:valAx>
        <c:axId val="85737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6697247706422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4724770642201837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379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01834862385323"/>
          <c:y val="0.92397937099967764"/>
          <c:w val="0.54472477064220182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20</xdr:col>
      <xdr:colOff>152400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E6ABB09-3479-2702-F6AA-DE8BE7EDD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34" TargetMode="External"/><Relationship Id="rId3" Type="http://schemas.openxmlformats.org/officeDocument/2006/relationships/hyperlink" Target="http://www.bav-astro.de/sfs/BAVM_link.php?BAVMnr=209" TargetMode="External"/><Relationship Id="rId7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www.bav-astro.de/sfs/BAVM_link.php?BAVMnr=203" TargetMode="External"/><Relationship Id="rId1" Type="http://schemas.openxmlformats.org/officeDocument/2006/relationships/hyperlink" Target="http://www.bav-astro.de/sfs/BAVM_link.php?BAVMnr=203" TargetMode="External"/><Relationship Id="rId6" Type="http://schemas.openxmlformats.org/officeDocument/2006/relationships/hyperlink" Target="http://www.bav-astro.de/sfs/BAVM_link.php?BAVMnr=231" TargetMode="External"/><Relationship Id="rId5" Type="http://schemas.openxmlformats.org/officeDocument/2006/relationships/hyperlink" Target="http://www.bav-astro.de/sfs/BAVM_link.php?BAVMnr=215" TargetMode="External"/><Relationship Id="rId10" Type="http://schemas.openxmlformats.org/officeDocument/2006/relationships/hyperlink" Target="http://www.bav-astro.de/sfs/BAVM_link.php?BAVMnr=239" TargetMode="External"/><Relationship Id="rId4" Type="http://schemas.openxmlformats.org/officeDocument/2006/relationships/hyperlink" Target="http://www.bav-astro.de/sfs/BAVM_link.php?BAVMnr=234" TargetMode="External"/><Relationship Id="rId9" Type="http://schemas.openxmlformats.org/officeDocument/2006/relationships/hyperlink" Target="http://www.bav-astro.de/sfs/BAVM_link.php?BAVMnr=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49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</cols>
  <sheetData>
    <row r="1" spans="1:6" ht="20.25" x14ac:dyDescent="0.3">
      <c r="A1" s="1" t="s">
        <v>41</v>
      </c>
    </row>
    <row r="2" spans="1:6" x14ac:dyDescent="0.2">
      <c r="A2" t="s">
        <v>25</v>
      </c>
      <c r="B2" t="s">
        <v>42</v>
      </c>
      <c r="C2" s="3"/>
      <c r="D2" s="3"/>
    </row>
    <row r="3" spans="1:6" ht="13.5" thickBot="1" x14ac:dyDescent="0.25"/>
    <row r="4" spans="1:6" ht="14.25" thickTop="1" thickBot="1" x14ac:dyDescent="0.25">
      <c r="A4" s="5" t="s">
        <v>2</v>
      </c>
      <c r="C4" s="27" t="s">
        <v>39</v>
      </c>
      <c r="D4" s="28" t="s">
        <v>39</v>
      </c>
    </row>
    <row r="5" spans="1:6" ht="13.5" thickTop="1" x14ac:dyDescent="0.2">
      <c r="A5" s="9" t="s">
        <v>30</v>
      </c>
      <c r="B5" s="10"/>
      <c r="C5" s="11">
        <v>-9.5</v>
      </c>
      <c r="D5" s="10" t="s">
        <v>31</v>
      </c>
    </row>
    <row r="6" spans="1:6" x14ac:dyDescent="0.2">
      <c r="A6" s="5" t="s">
        <v>3</v>
      </c>
    </row>
    <row r="7" spans="1:6" x14ac:dyDescent="0.2">
      <c r="A7" t="s">
        <v>4</v>
      </c>
      <c r="C7" s="8">
        <v>54316.37</v>
      </c>
      <c r="D7" s="29" t="s">
        <v>40</v>
      </c>
    </row>
    <row r="8" spans="1:6" x14ac:dyDescent="0.2">
      <c r="A8" t="s">
        <v>5</v>
      </c>
      <c r="C8" s="8">
        <v>0.57478899999999999</v>
      </c>
      <c r="D8" s="29" t="s">
        <v>40</v>
      </c>
    </row>
    <row r="9" spans="1:6" x14ac:dyDescent="0.2">
      <c r="A9" s="24" t="s">
        <v>34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6" x14ac:dyDescent="0.2">
      <c r="A11" s="10" t="s">
        <v>17</v>
      </c>
      <c r="B11" s="10"/>
      <c r="C11" s="21">
        <f ca="1">INTERCEPT(INDIRECT($D$9):G992,INDIRECT($C$9):F992)</f>
        <v>-2.6310249950126027E-3</v>
      </c>
      <c r="D11" s="3"/>
      <c r="E11" s="10"/>
    </row>
    <row r="12" spans="1:6" x14ac:dyDescent="0.2">
      <c r="A12" s="10" t="s">
        <v>18</v>
      </c>
      <c r="B12" s="10"/>
      <c r="C12" s="21">
        <f ca="1">SLOPE(INDIRECT($D$9):G992,INDIRECT($C$9):F992)</f>
        <v>4.4145955568322738E-6</v>
      </c>
      <c r="D12" s="3"/>
      <c r="E12" s="10"/>
    </row>
    <row r="13" spans="1:6" x14ac:dyDescent="0.2">
      <c r="A13" s="10" t="s">
        <v>20</v>
      </c>
      <c r="B13" s="10"/>
      <c r="C13" s="3" t="s">
        <v>15</v>
      </c>
    </row>
    <row r="14" spans="1:6" x14ac:dyDescent="0.2">
      <c r="A14" s="10"/>
      <c r="B14" s="10"/>
      <c r="C14" s="10"/>
    </row>
    <row r="15" spans="1:6" x14ac:dyDescent="0.2">
      <c r="A15" s="12" t="s">
        <v>19</v>
      </c>
      <c r="B15" s="10"/>
      <c r="C15" s="13">
        <f ca="1">(C7+C11)+(C8+C12)*INT(MAX(F21:F3533))</f>
        <v>59870.021340797277</v>
      </c>
      <c r="E15" s="14" t="s">
        <v>36</v>
      </c>
      <c r="F15" s="11">
        <v>1</v>
      </c>
    </row>
    <row r="16" spans="1:6" x14ac:dyDescent="0.2">
      <c r="A16" s="16" t="s">
        <v>6</v>
      </c>
      <c r="B16" s="10"/>
      <c r="C16" s="17">
        <f ca="1">+C8+C12</f>
        <v>0.57479341459555677</v>
      </c>
      <c r="E16" s="14" t="s">
        <v>32</v>
      </c>
      <c r="F16" s="15">
        <f ca="1">NOW()+15018.5+$C$5/24</f>
        <v>60170.807487847218</v>
      </c>
    </row>
    <row r="17" spans="1:21" ht="13.5" thickBot="1" x14ac:dyDescent="0.25">
      <c r="A17" s="14" t="s">
        <v>29</v>
      </c>
      <c r="B17" s="10"/>
      <c r="C17" s="10">
        <f>COUNT(C21:C2191)</f>
        <v>39</v>
      </c>
      <c r="E17" s="14" t="s">
        <v>37</v>
      </c>
      <c r="F17" s="15">
        <f ca="1">ROUND(2*(F16-$C$7)/$C$8,0)/2+F15</f>
        <v>10186.5</v>
      </c>
    </row>
    <row r="18" spans="1:21" ht="14.25" thickTop="1" thickBot="1" x14ac:dyDescent="0.25">
      <c r="A18" s="16" t="s">
        <v>7</v>
      </c>
      <c r="B18" s="10"/>
      <c r="C18" s="19">
        <f ca="1">+C15</f>
        <v>59870.021340797277</v>
      </c>
      <c r="D18" s="20">
        <f ca="1">+C16</f>
        <v>0.57479341459555677</v>
      </c>
      <c r="E18" s="14" t="s">
        <v>38</v>
      </c>
      <c r="F18" s="23">
        <f ca="1">ROUND(2*(F16-$C$15)/$C$16,0)/2+F15</f>
        <v>524.5</v>
      </c>
    </row>
    <row r="19" spans="1:21" ht="13.5" thickTop="1" x14ac:dyDescent="0.2">
      <c r="E19" s="14" t="s">
        <v>33</v>
      </c>
      <c r="F19" s="18">
        <f ca="1">+$C$15+$C$16*F18-15018.5-$C$5/24</f>
        <v>45153.39632008598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57</v>
      </c>
      <c r="I20" s="7" t="s">
        <v>60</v>
      </c>
      <c r="J20" s="7" t="s">
        <v>54</v>
      </c>
      <c r="K20" s="7" t="s">
        <v>52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R20" s="4"/>
      <c r="S20" s="4"/>
      <c r="T20" s="4"/>
      <c r="U20" s="26" t="s">
        <v>35</v>
      </c>
    </row>
    <row r="21" spans="1:21" x14ac:dyDescent="0.2">
      <c r="A21" t="s">
        <v>40</v>
      </c>
      <c r="C21" s="63">
        <f>C7</f>
        <v>54316.37</v>
      </c>
      <c r="D21" s="8" t="s">
        <v>15</v>
      </c>
      <c r="E21">
        <f t="shared" ref="E21:E55" si="0">+(C21-C$7)/C$8</f>
        <v>0</v>
      </c>
      <c r="F21">
        <f t="shared" ref="F21:F59" si="1">ROUND(2*E21,0)/2</f>
        <v>0</v>
      </c>
      <c r="G21">
        <f t="shared" ref="G21:G26" si="2">+C21-(C$7+F21*C$8)</f>
        <v>0</v>
      </c>
      <c r="I21">
        <f>+G21</f>
        <v>0</v>
      </c>
      <c r="O21">
        <f t="shared" ref="O21:O55" ca="1" si="3">+C$11+C$12*$F21</f>
        <v>-2.6310249950126027E-3</v>
      </c>
      <c r="Q21" s="2">
        <f t="shared" ref="Q21:Q55" si="4">+C21-15018.5</f>
        <v>39297.870000000003</v>
      </c>
      <c r="R21" s="2"/>
      <c r="S21" s="2"/>
      <c r="T21" s="2"/>
    </row>
    <row r="22" spans="1:21" x14ac:dyDescent="0.2">
      <c r="A22" s="52" t="s">
        <v>67</v>
      </c>
      <c r="B22" s="54" t="s">
        <v>46</v>
      </c>
      <c r="C22" s="64">
        <v>54663.546900000001</v>
      </c>
      <c r="D22" s="53" t="s">
        <v>60</v>
      </c>
      <c r="E22">
        <f t="shared" si="0"/>
        <v>604.00755755590069</v>
      </c>
      <c r="F22">
        <f t="shared" si="1"/>
        <v>604</v>
      </c>
      <c r="G22">
        <f t="shared" si="2"/>
        <v>4.3440000008558854E-3</v>
      </c>
      <c r="K22">
        <f>+G22</f>
        <v>4.3440000008558854E-3</v>
      </c>
      <c r="O22">
        <f t="shared" ca="1" si="3"/>
        <v>3.5390721314090649E-5</v>
      </c>
      <c r="Q22" s="2">
        <f t="shared" si="4"/>
        <v>39645.046900000001</v>
      </c>
      <c r="R22" s="2"/>
      <c r="S22" s="2"/>
      <c r="T22" s="2"/>
    </row>
    <row r="23" spans="1:21" x14ac:dyDescent="0.2">
      <c r="A23" s="60" t="s">
        <v>110</v>
      </c>
      <c r="B23" s="61" t="s">
        <v>44</v>
      </c>
      <c r="C23" s="62">
        <v>54682.514000000003</v>
      </c>
      <c r="D23" s="60">
        <v>4.1999999999999997E-3</v>
      </c>
      <c r="E23">
        <f t="shared" si="0"/>
        <v>637.00592739248702</v>
      </c>
      <c r="F23">
        <f t="shared" si="1"/>
        <v>637</v>
      </c>
      <c r="G23">
        <f t="shared" si="2"/>
        <v>3.4070000037900172E-3</v>
      </c>
      <c r="I23">
        <f>+G23</f>
        <v>3.4070000037900172E-3</v>
      </c>
      <c r="O23">
        <f t="shared" ca="1" si="3"/>
        <v>1.8107237468955586E-4</v>
      </c>
      <c r="Q23" s="2">
        <f t="shared" si="4"/>
        <v>39664.014000000003</v>
      </c>
    </row>
    <row r="24" spans="1:21" x14ac:dyDescent="0.2">
      <c r="A24" s="52" t="s">
        <v>67</v>
      </c>
      <c r="B24" s="54" t="s">
        <v>44</v>
      </c>
      <c r="C24" s="64">
        <v>54682.514300000003</v>
      </c>
      <c r="D24" s="53" t="s">
        <v>60</v>
      </c>
      <c r="E24">
        <f t="shared" si="0"/>
        <v>637.00644932314276</v>
      </c>
      <c r="F24">
        <f t="shared" si="1"/>
        <v>637</v>
      </c>
      <c r="G24">
        <f t="shared" si="2"/>
        <v>3.7070000034873374E-3</v>
      </c>
      <c r="K24">
        <f>+G24</f>
        <v>3.7070000034873374E-3</v>
      </c>
      <c r="O24">
        <f t="shared" ca="1" si="3"/>
        <v>1.8107237468955586E-4</v>
      </c>
      <c r="Q24" s="2">
        <f t="shared" si="4"/>
        <v>39664.014300000003</v>
      </c>
      <c r="R24" s="2"/>
      <c r="S24" s="2"/>
      <c r="T24" s="2"/>
    </row>
    <row r="25" spans="1:21" x14ac:dyDescent="0.2">
      <c r="A25" s="60" t="s">
        <v>110</v>
      </c>
      <c r="B25" s="61" t="s">
        <v>46</v>
      </c>
      <c r="C25" s="62">
        <v>54684.525699999998</v>
      </c>
      <c r="D25" s="60">
        <v>3.5000000000000001E-3</v>
      </c>
      <c r="E25">
        <f t="shared" si="0"/>
        <v>640.50582039669462</v>
      </c>
      <c r="F25">
        <f t="shared" si="1"/>
        <v>640.5</v>
      </c>
      <c r="G25">
        <f t="shared" si="2"/>
        <v>3.3454999938840047E-3</v>
      </c>
      <c r="I25">
        <f>+G25</f>
        <v>3.3454999938840047E-3</v>
      </c>
      <c r="O25">
        <f t="shared" ca="1" si="3"/>
        <v>1.9652345913846866E-4</v>
      </c>
      <c r="Q25" s="2">
        <f t="shared" si="4"/>
        <v>39666.025699999998</v>
      </c>
    </row>
    <row r="26" spans="1:21" x14ac:dyDescent="0.2">
      <c r="A26" s="30" t="s">
        <v>43</v>
      </c>
      <c r="B26" s="31" t="s">
        <v>44</v>
      </c>
      <c r="C26" s="65">
        <v>54705.5069</v>
      </c>
      <c r="D26" s="30">
        <v>8.9999999999999998E-4</v>
      </c>
      <c r="E26">
        <f t="shared" si="0"/>
        <v>677.0082586827474</v>
      </c>
      <c r="F26">
        <f t="shared" si="1"/>
        <v>677</v>
      </c>
      <c r="G26">
        <f t="shared" si="2"/>
        <v>4.7469999990426004E-3</v>
      </c>
      <c r="J26">
        <f>+G26</f>
        <v>4.7469999990426004E-3</v>
      </c>
      <c r="O26">
        <f t="shared" ca="1" si="3"/>
        <v>3.5765619696284667E-4</v>
      </c>
      <c r="Q26" s="2">
        <f t="shared" si="4"/>
        <v>39687.0069</v>
      </c>
      <c r="R26" s="2"/>
      <c r="S26" s="2"/>
      <c r="T26" s="2"/>
    </row>
    <row r="27" spans="1:21" x14ac:dyDescent="0.2">
      <c r="A27" s="35" t="s">
        <v>47</v>
      </c>
      <c r="B27" s="36" t="s">
        <v>44</v>
      </c>
      <c r="C27" s="66">
        <v>55050.364099999999</v>
      </c>
      <c r="D27" s="37">
        <v>5.0000000000000001E-4</v>
      </c>
      <c r="E27">
        <f t="shared" si="0"/>
        <v>1276.980074427305</v>
      </c>
      <c r="F27">
        <f t="shared" si="1"/>
        <v>1277</v>
      </c>
      <c r="O27">
        <f t="shared" ca="1" si="3"/>
        <v>3.006413531062211E-3</v>
      </c>
      <c r="Q27" s="2">
        <f t="shared" si="4"/>
        <v>40031.864099999999</v>
      </c>
      <c r="R27" s="2"/>
      <c r="S27" s="2"/>
      <c r="T27" s="2"/>
      <c r="U27" s="38">
        <f>+C27-(C$7+F27*C$8)</f>
        <v>-1.1453000006440561E-2</v>
      </c>
    </row>
    <row r="28" spans="1:21" x14ac:dyDescent="0.2">
      <c r="A28" s="60" t="s">
        <v>110</v>
      </c>
      <c r="B28" s="61" t="s">
        <v>44</v>
      </c>
      <c r="C28" s="62">
        <v>55480.323299999996</v>
      </c>
      <c r="D28" s="60">
        <v>3.5000000000000001E-3</v>
      </c>
      <c r="E28">
        <f t="shared" si="0"/>
        <v>2025.009699211352</v>
      </c>
      <c r="F28">
        <f t="shared" si="1"/>
        <v>2025</v>
      </c>
      <c r="G28">
        <f t="shared" ref="G28:G55" si="5">+C28-(C$7+F28*C$8)</f>
        <v>5.5749999955878593E-3</v>
      </c>
      <c r="I28">
        <f>+G28</f>
        <v>5.5749999955878593E-3</v>
      </c>
      <c r="O28">
        <f t="shared" ca="1" si="3"/>
        <v>6.3085310075727524E-3</v>
      </c>
      <c r="Q28" s="2">
        <f t="shared" si="4"/>
        <v>40461.823299999996</v>
      </c>
    </row>
    <row r="29" spans="1:21" x14ac:dyDescent="0.2">
      <c r="A29" s="32" t="s">
        <v>48</v>
      </c>
      <c r="B29" s="32"/>
      <c r="C29" s="66">
        <v>55480.323400000001</v>
      </c>
      <c r="D29" s="34">
        <v>4.0000000000000002E-4</v>
      </c>
      <c r="E29">
        <f t="shared" si="0"/>
        <v>2025.0098731882456</v>
      </c>
      <c r="F29">
        <f t="shared" si="1"/>
        <v>2025</v>
      </c>
      <c r="G29">
        <f t="shared" si="5"/>
        <v>5.6750000003376044E-3</v>
      </c>
      <c r="J29">
        <f>+G29</f>
        <v>5.6750000003376044E-3</v>
      </c>
      <c r="O29">
        <f t="shared" ca="1" si="3"/>
        <v>6.3085310075727524E-3</v>
      </c>
      <c r="Q29" s="2">
        <f t="shared" si="4"/>
        <v>40461.823400000001</v>
      </c>
      <c r="R29" s="2"/>
      <c r="S29" s="2"/>
      <c r="T29" s="2"/>
    </row>
    <row r="30" spans="1:21" x14ac:dyDescent="0.2">
      <c r="A30" s="60" t="s">
        <v>110</v>
      </c>
      <c r="B30" s="61" t="s">
        <v>46</v>
      </c>
      <c r="C30" s="62">
        <v>56159.440999999999</v>
      </c>
      <c r="D30" s="60">
        <v>3.5000000000000001E-3</v>
      </c>
      <c r="E30">
        <f t="shared" si="0"/>
        <v>3206.5175220820097</v>
      </c>
      <c r="F30">
        <f t="shared" si="1"/>
        <v>3206.5</v>
      </c>
      <c r="G30">
        <f t="shared" si="5"/>
        <v>1.0071499993500765E-2</v>
      </c>
      <c r="I30">
        <f>+G30</f>
        <v>1.0071499993500765E-2</v>
      </c>
      <c r="O30">
        <f t="shared" ca="1" si="3"/>
        <v>1.1524375657970083E-2</v>
      </c>
      <c r="Q30" s="2">
        <f t="shared" si="4"/>
        <v>41140.940999999999</v>
      </c>
    </row>
    <row r="31" spans="1:21" x14ac:dyDescent="0.2">
      <c r="A31" s="32" t="s">
        <v>45</v>
      </c>
      <c r="B31" s="33" t="s">
        <v>46</v>
      </c>
      <c r="C31" s="66">
        <v>56159.442799999997</v>
      </c>
      <c r="D31" s="34">
        <v>8.0000000000000004E-4</v>
      </c>
      <c r="E31">
        <f t="shared" si="0"/>
        <v>3206.5206536659443</v>
      </c>
      <c r="F31">
        <f t="shared" si="1"/>
        <v>3206.5</v>
      </c>
      <c r="G31">
        <f t="shared" si="5"/>
        <v>1.1871499991684686E-2</v>
      </c>
      <c r="J31">
        <f>+G31</f>
        <v>1.1871499991684686E-2</v>
      </c>
      <c r="O31">
        <f t="shared" ca="1" si="3"/>
        <v>1.1524375657970083E-2</v>
      </c>
      <c r="Q31" s="2">
        <f t="shared" si="4"/>
        <v>41140.942799999997</v>
      </c>
      <c r="R31" s="2"/>
      <c r="S31" s="2"/>
      <c r="T31" s="2"/>
    </row>
    <row r="32" spans="1:21" x14ac:dyDescent="0.2">
      <c r="A32" s="35" t="s">
        <v>47</v>
      </c>
      <c r="B32" s="36" t="s">
        <v>44</v>
      </c>
      <c r="C32" s="66">
        <v>56650.315900000001</v>
      </c>
      <c r="D32" s="37">
        <v>5.9999999999999995E-4</v>
      </c>
      <c r="E32">
        <f t="shared" si="0"/>
        <v>4060.5263844645579</v>
      </c>
      <c r="F32">
        <f t="shared" si="1"/>
        <v>4060.5</v>
      </c>
      <c r="G32">
        <f t="shared" si="5"/>
        <v>1.5165500000875909E-2</v>
      </c>
      <c r="J32">
        <f>+G32</f>
        <v>1.5165500000875909E-2</v>
      </c>
      <c r="O32">
        <f t="shared" ca="1" si="3"/>
        <v>1.5294440263504846E-2</v>
      </c>
      <c r="Q32" s="2">
        <f t="shared" si="4"/>
        <v>41631.815900000001</v>
      </c>
      <c r="R32" s="2"/>
      <c r="S32" s="2"/>
      <c r="T32" s="2"/>
    </row>
    <row r="33" spans="1:20" x14ac:dyDescent="0.2">
      <c r="A33" s="35" t="s">
        <v>47</v>
      </c>
      <c r="B33" s="36" t="s">
        <v>44</v>
      </c>
      <c r="C33" s="66">
        <v>56654.336000000003</v>
      </c>
      <c r="D33" s="37">
        <v>5.9999999999999995E-4</v>
      </c>
      <c r="E33">
        <f t="shared" si="0"/>
        <v>4067.5204292357726</v>
      </c>
      <c r="F33">
        <f t="shared" si="1"/>
        <v>4067.5</v>
      </c>
      <c r="G33">
        <f t="shared" si="5"/>
        <v>1.1742499998945277E-2</v>
      </c>
      <c r="J33">
        <f>+G33</f>
        <v>1.1742499998945277E-2</v>
      </c>
      <c r="O33">
        <f t="shared" ca="1" si="3"/>
        <v>1.5325342432402671E-2</v>
      </c>
      <c r="Q33" s="2">
        <f t="shared" si="4"/>
        <v>41635.836000000003</v>
      </c>
      <c r="R33" s="2"/>
      <c r="S33" s="2"/>
      <c r="T33" s="2"/>
    </row>
    <row r="34" spans="1:20" x14ac:dyDescent="0.2">
      <c r="A34" s="60" t="s">
        <v>110</v>
      </c>
      <c r="B34" s="61" t="s">
        <v>46</v>
      </c>
      <c r="C34" s="62">
        <v>56654.338199999998</v>
      </c>
      <c r="D34" s="60">
        <v>4.1999999999999997E-3</v>
      </c>
      <c r="E34">
        <f t="shared" si="0"/>
        <v>4067.5242567272439</v>
      </c>
      <c r="F34">
        <f t="shared" si="1"/>
        <v>4067.5</v>
      </c>
      <c r="G34">
        <f t="shared" si="5"/>
        <v>1.3942499994300306E-2</v>
      </c>
      <c r="I34">
        <f>+G34</f>
        <v>1.3942499994300306E-2</v>
      </c>
      <c r="O34">
        <f t="shared" ca="1" si="3"/>
        <v>1.5325342432402671E-2</v>
      </c>
      <c r="Q34" s="2">
        <f t="shared" si="4"/>
        <v>41635.838199999998</v>
      </c>
    </row>
    <row r="35" spans="1:20" x14ac:dyDescent="0.2">
      <c r="A35" s="60" t="s">
        <v>110</v>
      </c>
      <c r="B35" s="61" t="s">
        <v>46</v>
      </c>
      <c r="C35" s="62">
        <v>56657.2117</v>
      </c>
      <c r="D35" s="60">
        <v>3.5000000000000001E-3</v>
      </c>
      <c r="E35">
        <f t="shared" si="0"/>
        <v>4072.5234825301063</v>
      </c>
      <c r="F35">
        <f t="shared" si="1"/>
        <v>4072.5</v>
      </c>
      <c r="G35">
        <f t="shared" si="5"/>
        <v>1.3497499996447004E-2</v>
      </c>
      <c r="I35">
        <f>+G35</f>
        <v>1.3497499996447004E-2</v>
      </c>
      <c r="O35">
        <f t="shared" ca="1" si="3"/>
        <v>1.5347415410186832E-2</v>
      </c>
      <c r="Q35" s="2">
        <f t="shared" si="4"/>
        <v>41638.7117</v>
      </c>
    </row>
    <row r="36" spans="1:20" x14ac:dyDescent="0.2">
      <c r="A36" s="35" t="s">
        <v>47</v>
      </c>
      <c r="B36" s="36" t="s">
        <v>44</v>
      </c>
      <c r="C36" s="66">
        <v>56657.214</v>
      </c>
      <c r="D36" s="37">
        <v>8.9999999999999998E-4</v>
      </c>
      <c r="E36">
        <f t="shared" si="0"/>
        <v>4072.5274839984713</v>
      </c>
      <c r="F36">
        <f t="shared" si="1"/>
        <v>4072.5</v>
      </c>
      <c r="G36">
        <f t="shared" si="5"/>
        <v>1.5797499996551778E-2</v>
      </c>
      <c r="J36">
        <f>+G36</f>
        <v>1.5797499996551778E-2</v>
      </c>
      <c r="O36">
        <f t="shared" ca="1" si="3"/>
        <v>1.5347415410186832E-2</v>
      </c>
      <c r="Q36" s="2">
        <f t="shared" si="4"/>
        <v>41638.714</v>
      </c>
      <c r="R36" s="2"/>
      <c r="S36" s="2"/>
      <c r="T36" s="2"/>
    </row>
    <row r="37" spans="1:20" x14ac:dyDescent="0.2">
      <c r="A37" s="37" t="s">
        <v>49</v>
      </c>
      <c r="B37" s="33"/>
      <c r="C37" s="67">
        <v>56937.4254</v>
      </c>
      <c r="D37" s="37">
        <v>2.8E-3</v>
      </c>
      <c r="E37">
        <f t="shared" si="0"/>
        <v>4560.0305503410773</v>
      </c>
      <c r="F37">
        <f t="shared" si="1"/>
        <v>4560</v>
      </c>
      <c r="G37">
        <f t="shared" si="5"/>
        <v>1.7560000000230502E-2</v>
      </c>
      <c r="J37">
        <f>+G37</f>
        <v>1.7560000000230502E-2</v>
      </c>
      <c r="O37">
        <f t="shared" ca="1" si="3"/>
        <v>1.7499530744142566E-2</v>
      </c>
      <c r="Q37" s="2">
        <f t="shared" si="4"/>
        <v>41918.9254</v>
      </c>
      <c r="R37" s="2"/>
      <c r="S37" s="2"/>
      <c r="T37" s="2"/>
    </row>
    <row r="38" spans="1:20" x14ac:dyDescent="0.2">
      <c r="A38" s="60" t="s">
        <v>110</v>
      </c>
      <c r="B38" s="61" t="s">
        <v>44</v>
      </c>
      <c r="C38" s="62">
        <v>56937.425499999998</v>
      </c>
      <c r="D38" s="60">
        <v>4.8999999999999998E-3</v>
      </c>
      <c r="E38">
        <f t="shared" si="0"/>
        <v>4560.0307243179586</v>
      </c>
      <c r="F38">
        <f t="shared" si="1"/>
        <v>4560</v>
      </c>
      <c r="G38">
        <f t="shared" si="5"/>
        <v>1.765999999770429E-2</v>
      </c>
      <c r="I38">
        <f>+G38</f>
        <v>1.765999999770429E-2</v>
      </c>
      <c r="O38">
        <f t="shared" ca="1" si="3"/>
        <v>1.7499530744142566E-2</v>
      </c>
      <c r="Q38" s="2">
        <f t="shared" si="4"/>
        <v>41918.925499999998</v>
      </c>
    </row>
    <row r="39" spans="1:20" x14ac:dyDescent="0.2">
      <c r="A39" s="60" t="s">
        <v>110</v>
      </c>
      <c r="B39" s="61" t="s">
        <v>44</v>
      </c>
      <c r="C39" s="62">
        <v>57287.470500000003</v>
      </c>
      <c r="D39" s="60">
        <v>4.1999999999999997E-3</v>
      </c>
      <c r="E39">
        <f t="shared" si="0"/>
        <v>5169.0281129249179</v>
      </c>
      <c r="F39">
        <f t="shared" si="1"/>
        <v>5169</v>
      </c>
      <c r="G39">
        <f t="shared" si="5"/>
        <v>1.6158999998879153E-2</v>
      </c>
      <c r="I39">
        <f>+G39</f>
        <v>1.6158999998879153E-2</v>
      </c>
      <c r="O39">
        <f t="shared" ca="1" si="3"/>
        <v>2.0188019438253421E-2</v>
      </c>
      <c r="Q39" s="2">
        <f t="shared" si="4"/>
        <v>42268.970500000003</v>
      </c>
    </row>
    <row r="40" spans="1:20" x14ac:dyDescent="0.2">
      <c r="A40" s="55" t="s">
        <v>1</v>
      </c>
      <c r="B40" s="56" t="s">
        <v>46</v>
      </c>
      <c r="C40" s="68">
        <v>57287.471899999997</v>
      </c>
      <c r="D40" s="57">
        <v>6.9999999999999999E-4</v>
      </c>
      <c r="E40">
        <f t="shared" si="0"/>
        <v>5169.0305486013031</v>
      </c>
      <c r="F40">
        <f t="shared" si="1"/>
        <v>5169</v>
      </c>
      <c r="G40">
        <f t="shared" si="5"/>
        <v>1.7558999992616009E-2</v>
      </c>
      <c r="K40">
        <f>+G40</f>
        <v>1.7558999992616009E-2</v>
      </c>
      <c r="O40">
        <f t="shared" ca="1" si="3"/>
        <v>2.0188019438253421E-2</v>
      </c>
      <c r="Q40" s="2">
        <f t="shared" si="4"/>
        <v>42268.971899999997</v>
      </c>
    </row>
    <row r="41" spans="1:20" x14ac:dyDescent="0.2">
      <c r="A41" s="60" t="s">
        <v>110</v>
      </c>
      <c r="B41" s="61" t="s">
        <v>46</v>
      </c>
      <c r="C41" s="62">
        <v>57297.530299999999</v>
      </c>
      <c r="D41" s="60">
        <v>3.5000000000000001E-3</v>
      </c>
      <c r="E41">
        <f t="shared" si="0"/>
        <v>5186.5298396454973</v>
      </c>
      <c r="F41">
        <f t="shared" si="1"/>
        <v>5186.5</v>
      </c>
      <c r="G41">
        <f t="shared" si="5"/>
        <v>1.7151499996543862E-2</v>
      </c>
      <c r="I41">
        <f>+G41</f>
        <v>1.7151499996543862E-2</v>
      </c>
      <c r="O41">
        <f t="shared" ca="1" si="3"/>
        <v>2.0265274860497985E-2</v>
      </c>
      <c r="Q41" s="2">
        <f t="shared" si="4"/>
        <v>42279.030299999999</v>
      </c>
    </row>
    <row r="42" spans="1:20" x14ac:dyDescent="0.2">
      <c r="A42" s="55" t="s">
        <v>1</v>
      </c>
      <c r="B42" s="56" t="s">
        <v>44</v>
      </c>
      <c r="C42" s="68">
        <v>57297.5317</v>
      </c>
      <c r="D42" s="57">
        <v>8.0000000000000004E-4</v>
      </c>
      <c r="E42">
        <f t="shared" si="0"/>
        <v>5186.5322753218952</v>
      </c>
      <c r="F42">
        <f t="shared" si="1"/>
        <v>5186.5</v>
      </c>
      <c r="G42">
        <f t="shared" si="5"/>
        <v>1.8551499997556675E-2</v>
      </c>
      <c r="K42">
        <f>+G42</f>
        <v>1.8551499997556675E-2</v>
      </c>
      <c r="O42">
        <f t="shared" ca="1" si="3"/>
        <v>2.0265274860497985E-2</v>
      </c>
      <c r="Q42" s="2">
        <f t="shared" si="4"/>
        <v>42279.0317</v>
      </c>
    </row>
    <row r="43" spans="1:20" x14ac:dyDescent="0.2">
      <c r="A43" s="55" t="s">
        <v>1</v>
      </c>
      <c r="B43" s="56" t="s">
        <v>44</v>
      </c>
      <c r="C43" s="68">
        <v>57298.393300000003</v>
      </c>
      <c r="D43" s="57">
        <v>4.0000000000000002E-4</v>
      </c>
      <c r="E43">
        <f t="shared" si="0"/>
        <v>5188.0312601667756</v>
      </c>
      <c r="F43">
        <f t="shared" si="1"/>
        <v>5188</v>
      </c>
      <c r="G43">
        <f t="shared" si="5"/>
        <v>1.7968000000109896E-2</v>
      </c>
      <c r="K43">
        <f>+G43</f>
        <v>1.7968000000109896E-2</v>
      </c>
      <c r="O43">
        <f t="shared" ca="1" si="3"/>
        <v>2.0271896753833233E-2</v>
      </c>
      <c r="Q43" s="2">
        <f t="shared" si="4"/>
        <v>42279.893300000003</v>
      </c>
      <c r="R43" s="2"/>
      <c r="S43" s="2"/>
      <c r="T43" s="2"/>
    </row>
    <row r="44" spans="1:20" x14ac:dyDescent="0.2">
      <c r="A44" s="55" t="s">
        <v>1</v>
      </c>
      <c r="B44" s="56" t="s">
        <v>46</v>
      </c>
      <c r="C44" s="68">
        <v>57307.302100000001</v>
      </c>
      <c r="D44" s="57">
        <v>5.9999999999999995E-4</v>
      </c>
      <c r="E44">
        <f t="shared" si="0"/>
        <v>5203.5305129360486</v>
      </c>
      <c r="F44">
        <f t="shared" si="1"/>
        <v>5203.5</v>
      </c>
      <c r="G44">
        <f t="shared" si="5"/>
        <v>1.7538499996589962E-2</v>
      </c>
      <c r="K44">
        <f>+G44</f>
        <v>1.7538499996589962E-2</v>
      </c>
      <c r="O44">
        <f t="shared" ca="1" si="3"/>
        <v>2.0340322984964136E-2</v>
      </c>
      <c r="Q44" s="2">
        <f t="shared" si="4"/>
        <v>42288.802100000001</v>
      </c>
      <c r="R44" s="2"/>
      <c r="S44" s="2"/>
      <c r="T44" s="2"/>
    </row>
    <row r="45" spans="1:20" x14ac:dyDescent="0.2">
      <c r="A45" s="60" t="s">
        <v>110</v>
      </c>
      <c r="B45" s="61" t="s">
        <v>46</v>
      </c>
      <c r="C45" s="62">
        <v>57307.302199999998</v>
      </c>
      <c r="D45" s="60">
        <v>3.5000000000000001E-3</v>
      </c>
      <c r="E45">
        <f t="shared" si="0"/>
        <v>5203.530686912929</v>
      </c>
      <c r="F45">
        <f t="shared" si="1"/>
        <v>5203.5</v>
      </c>
      <c r="G45">
        <f t="shared" si="5"/>
        <v>1.763849999406375E-2</v>
      </c>
      <c r="I45">
        <f t="shared" ref="I45:I55" si="6">+G45</f>
        <v>1.763849999406375E-2</v>
      </c>
      <c r="O45">
        <f t="shared" ca="1" si="3"/>
        <v>2.0340322984964136E-2</v>
      </c>
      <c r="Q45" s="2">
        <f t="shared" si="4"/>
        <v>42288.802199999998</v>
      </c>
    </row>
    <row r="46" spans="1:20" x14ac:dyDescent="0.2">
      <c r="A46" s="60" t="s">
        <v>110</v>
      </c>
      <c r="B46" s="61" t="s">
        <v>46</v>
      </c>
      <c r="C46" s="62">
        <v>57658.500599999999</v>
      </c>
      <c r="D46" s="60">
        <v>3.5000000000000001E-3</v>
      </c>
      <c r="E46">
        <f t="shared" si="0"/>
        <v>5814.5347249164424</v>
      </c>
      <c r="F46">
        <f t="shared" si="1"/>
        <v>5814.5</v>
      </c>
      <c r="G46">
        <f t="shared" si="5"/>
        <v>1.9959499994001817E-2</v>
      </c>
      <c r="I46">
        <f t="shared" si="6"/>
        <v>1.9959499994001817E-2</v>
      </c>
      <c r="O46">
        <f t="shared" ca="1" si="3"/>
        <v>2.3037640870188652E-2</v>
      </c>
      <c r="Q46" s="2">
        <f t="shared" si="4"/>
        <v>42640.000599999999</v>
      </c>
    </row>
    <row r="47" spans="1:20" x14ac:dyDescent="0.2">
      <c r="A47" s="60" t="s">
        <v>110</v>
      </c>
      <c r="B47" s="61" t="s">
        <v>46</v>
      </c>
      <c r="C47" s="62">
        <v>57684.368000000002</v>
      </c>
      <c r="D47" s="60">
        <v>3.5000000000000001E-3</v>
      </c>
      <c r="E47">
        <f t="shared" si="0"/>
        <v>5859.5380217784259</v>
      </c>
      <c r="F47">
        <f t="shared" si="1"/>
        <v>5859.5</v>
      </c>
      <c r="G47">
        <f t="shared" si="5"/>
        <v>2.1854500002518762E-2</v>
      </c>
      <c r="I47">
        <f t="shared" si="6"/>
        <v>2.1854500002518762E-2</v>
      </c>
      <c r="O47">
        <f t="shared" ca="1" si="3"/>
        <v>2.3236297670246105E-2</v>
      </c>
      <c r="Q47" s="2">
        <f t="shared" si="4"/>
        <v>42665.868000000002</v>
      </c>
    </row>
    <row r="48" spans="1:20" x14ac:dyDescent="0.2">
      <c r="A48" s="60" t="s">
        <v>110</v>
      </c>
      <c r="B48" s="61" t="s">
        <v>46</v>
      </c>
      <c r="C48" s="62">
        <v>57722.304199999999</v>
      </c>
      <c r="D48" s="60">
        <v>3.5000000000000001E-3</v>
      </c>
      <c r="E48">
        <f t="shared" si="0"/>
        <v>5925.5382409892954</v>
      </c>
      <c r="F48">
        <f t="shared" si="1"/>
        <v>5925.5</v>
      </c>
      <c r="G48">
        <f t="shared" si="5"/>
        <v>2.1980499994242564E-2</v>
      </c>
      <c r="I48">
        <f t="shared" si="6"/>
        <v>2.1980499994242564E-2</v>
      </c>
      <c r="O48">
        <f t="shared" ca="1" si="3"/>
        <v>2.3527660976997034E-2</v>
      </c>
      <c r="Q48" s="2">
        <f t="shared" si="4"/>
        <v>42703.804199999999</v>
      </c>
    </row>
    <row r="49" spans="1:17" x14ac:dyDescent="0.2">
      <c r="A49" s="60" t="s">
        <v>110</v>
      </c>
      <c r="B49" s="61" t="s">
        <v>44</v>
      </c>
      <c r="C49" s="62">
        <v>57731.209600000002</v>
      </c>
      <c r="D49" s="60">
        <v>6.8999999999999999E-3</v>
      </c>
      <c r="E49">
        <f t="shared" si="0"/>
        <v>5941.0315785444736</v>
      </c>
      <c r="F49">
        <f t="shared" si="1"/>
        <v>5941</v>
      </c>
      <c r="G49">
        <f t="shared" si="5"/>
        <v>1.8150999996578321E-2</v>
      </c>
      <c r="I49">
        <f t="shared" si="6"/>
        <v>1.8150999996578321E-2</v>
      </c>
      <c r="O49">
        <f t="shared" ca="1" si="3"/>
        <v>2.3596087208127937E-2</v>
      </c>
      <c r="Q49" s="2">
        <f t="shared" si="4"/>
        <v>42712.709600000002</v>
      </c>
    </row>
    <row r="50" spans="1:17" x14ac:dyDescent="0.2">
      <c r="A50" s="58" t="s">
        <v>0</v>
      </c>
      <c r="B50" s="59" t="s">
        <v>44</v>
      </c>
      <c r="C50" s="69">
        <v>57988.431199999999</v>
      </c>
      <c r="D50" s="59">
        <v>3.7000000000000002E-3</v>
      </c>
      <c r="E50">
        <f t="shared" si="0"/>
        <v>6388.5377068802582</v>
      </c>
      <c r="F50">
        <f t="shared" si="1"/>
        <v>6388.5</v>
      </c>
      <c r="G50">
        <f t="shared" si="5"/>
        <v>2.1673499999451451E-2</v>
      </c>
      <c r="I50">
        <f t="shared" si="6"/>
        <v>2.1673499999451451E-2</v>
      </c>
      <c r="O50">
        <f t="shared" ca="1" si="3"/>
        <v>2.5571618719810379E-2</v>
      </c>
      <c r="Q50" s="2">
        <f t="shared" si="4"/>
        <v>42969.931199999999</v>
      </c>
    </row>
    <row r="51" spans="1:17" x14ac:dyDescent="0.2">
      <c r="A51" s="60" t="s">
        <v>110</v>
      </c>
      <c r="B51" s="61" t="s">
        <v>44</v>
      </c>
      <c r="C51" s="62">
        <v>59024.494899999998</v>
      </c>
      <c r="D51" s="60">
        <v>4.3E-3</v>
      </c>
      <c r="E51">
        <f t="shared" si="0"/>
        <v>8191.0490632214523</v>
      </c>
      <c r="F51">
        <f t="shared" si="1"/>
        <v>8191</v>
      </c>
      <c r="G51">
        <f t="shared" si="5"/>
        <v>2.8200999993714504E-2</v>
      </c>
      <c r="I51">
        <f t="shared" si="6"/>
        <v>2.8200999993714504E-2</v>
      </c>
      <c r="O51">
        <f t="shared" ca="1" si="3"/>
        <v>3.352892721100055E-2</v>
      </c>
      <c r="Q51" s="2">
        <f t="shared" si="4"/>
        <v>44005.994899999998</v>
      </c>
    </row>
    <row r="52" spans="1:17" x14ac:dyDescent="0.2">
      <c r="A52" s="60" t="s">
        <v>110</v>
      </c>
      <c r="B52" s="61" t="s">
        <v>44</v>
      </c>
      <c r="C52" s="62">
        <v>59414.502200000003</v>
      </c>
      <c r="D52" s="60">
        <v>3.5000000000000001E-3</v>
      </c>
      <c r="E52">
        <f t="shared" si="0"/>
        <v>8869.571616715004</v>
      </c>
      <c r="F52">
        <f t="shared" si="1"/>
        <v>8869.5</v>
      </c>
      <c r="G52">
        <f t="shared" si="5"/>
        <v>4.1164499998558313E-2</v>
      </c>
      <c r="I52">
        <f t="shared" si="6"/>
        <v>4.1164499998558313E-2</v>
      </c>
      <c r="O52">
        <f t="shared" ca="1" si="3"/>
        <v>3.6524230296311251E-2</v>
      </c>
      <c r="Q52" s="2">
        <f t="shared" si="4"/>
        <v>44396.002200000003</v>
      </c>
    </row>
    <row r="53" spans="1:17" x14ac:dyDescent="0.2">
      <c r="A53" s="60" t="s">
        <v>110</v>
      </c>
      <c r="B53" s="61" t="s">
        <v>44</v>
      </c>
      <c r="C53" s="62">
        <v>59433.4683</v>
      </c>
      <c r="D53" s="60">
        <v>3.5000000000000001E-3</v>
      </c>
      <c r="E53">
        <f t="shared" si="0"/>
        <v>8902.5682467827282</v>
      </c>
      <c r="F53">
        <f t="shared" si="1"/>
        <v>8902.5</v>
      </c>
      <c r="G53">
        <f t="shared" si="5"/>
        <v>3.9227499997650739E-2</v>
      </c>
      <c r="I53">
        <f t="shared" si="6"/>
        <v>3.9227499997650739E-2</v>
      </c>
      <c r="O53">
        <f t="shared" ca="1" si="3"/>
        <v>3.6669911949686718E-2</v>
      </c>
      <c r="Q53" s="2">
        <f t="shared" si="4"/>
        <v>44414.9683</v>
      </c>
    </row>
    <row r="54" spans="1:17" x14ac:dyDescent="0.2">
      <c r="A54" s="60" t="s">
        <v>110</v>
      </c>
      <c r="B54" s="61" t="s">
        <v>44</v>
      </c>
      <c r="C54" s="62">
        <v>59444.388500000001</v>
      </c>
      <c r="D54" s="60">
        <v>3.5000000000000001E-3</v>
      </c>
      <c r="E54">
        <f t="shared" si="0"/>
        <v>8921.5668706255656</v>
      </c>
      <c r="F54">
        <f t="shared" si="1"/>
        <v>8921.5</v>
      </c>
      <c r="G54">
        <f t="shared" si="5"/>
        <v>3.8436499999079388E-2</v>
      </c>
      <c r="I54">
        <f t="shared" si="6"/>
        <v>3.8436499999079388E-2</v>
      </c>
      <c r="O54">
        <f t="shared" ca="1" si="3"/>
        <v>3.6753789265266526E-2</v>
      </c>
      <c r="Q54" s="2">
        <f t="shared" si="4"/>
        <v>44425.888500000001</v>
      </c>
    </row>
    <row r="55" spans="1:17" x14ac:dyDescent="0.2">
      <c r="A55" s="60" t="s">
        <v>110</v>
      </c>
      <c r="B55" s="61" t="s">
        <v>44</v>
      </c>
      <c r="C55" s="62">
        <v>59463.357199999999</v>
      </c>
      <c r="D55" s="60">
        <v>3.5000000000000001E-3</v>
      </c>
      <c r="E55">
        <f t="shared" si="0"/>
        <v>8954.568024092312</v>
      </c>
      <c r="F55">
        <f t="shared" si="1"/>
        <v>8954.5</v>
      </c>
      <c r="G55">
        <f t="shared" si="5"/>
        <v>3.9099499997973908E-2</v>
      </c>
      <c r="I55">
        <f t="shared" si="6"/>
        <v>3.9099499997973908E-2</v>
      </c>
      <c r="O55">
        <f t="shared" ca="1" si="3"/>
        <v>3.6899470918641993E-2</v>
      </c>
      <c r="Q55" s="2">
        <f t="shared" si="4"/>
        <v>44444.857199999999</v>
      </c>
    </row>
    <row r="56" spans="1:17" x14ac:dyDescent="0.2">
      <c r="A56" s="60" t="s">
        <v>111</v>
      </c>
      <c r="B56" s="61" t="s">
        <v>44</v>
      </c>
      <c r="C56" s="70">
        <v>59800.476799999997</v>
      </c>
      <c r="D56" s="60">
        <v>3.5000000000000001E-3</v>
      </c>
      <c r="E56">
        <f t="shared" ref="E56:E59" si="7">+(C56-C$7)/C$8</f>
        <v>9541.0782043497602</v>
      </c>
      <c r="F56">
        <f t="shared" si="1"/>
        <v>9541</v>
      </c>
      <c r="G56">
        <f t="shared" ref="G56:G59" si="8">+C56-(C$7+F56*C$8)</f>
        <v>4.4950999996217433E-2</v>
      </c>
      <c r="I56">
        <f t="shared" ref="I56:I59" si="9">+G56</f>
        <v>4.4950999996217433E-2</v>
      </c>
      <c r="O56">
        <f t="shared" ref="O56:O59" ca="1" si="10">+C$11+C$12*$F56</f>
        <v>3.9488631212724119E-2</v>
      </c>
      <c r="Q56" s="2">
        <f t="shared" ref="Q56:Q59" si="11">+C56-15018.5</f>
        <v>44781.976799999997</v>
      </c>
    </row>
    <row r="57" spans="1:17" x14ac:dyDescent="0.2">
      <c r="A57" s="60" t="s">
        <v>111</v>
      </c>
      <c r="B57" s="61" t="s">
        <v>44</v>
      </c>
      <c r="C57" s="70">
        <v>59807.372900000002</v>
      </c>
      <c r="D57" s="60">
        <v>3.5000000000000001E-3</v>
      </c>
      <c r="E57">
        <f t="shared" si="7"/>
        <v>9553.0758243459768</v>
      </c>
      <c r="F57">
        <f t="shared" si="1"/>
        <v>9553</v>
      </c>
      <c r="G57">
        <f t="shared" si="8"/>
        <v>4.3582999998761807E-2</v>
      </c>
      <c r="I57">
        <f t="shared" si="9"/>
        <v>4.3582999998761807E-2</v>
      </c>
      <c r="O57">
        <f t="shared" ca="1" si="10"/>
        <v>3.9541606359406109E-2</v>
      </c>
      <c r="Q57" s="2">
        <f t="shared" si="11"/>
        <v>44788.872900000002</v>
      </c>
    </row>
    <row r="58" spans="1:17" x14ac:dyDescent="0.2">
      <c r="A58" s="60" t="s">
        <v>111</v>
      </c>
      <c r="B58" s="61" t="s">
        <v>44</v>
      </c>
      <c r="C58" s="70">
        <v>59833.523999999998</v>
      </c>
      <c r="D58" s="60">
        <v>3.5000000000000001E-3</v>
      </c>
      <c r="E58">
        <f t="shared" si="7"/>
        <v>9598.5726936319152</v>
      </c>
      <c r="F58">
        <f t="shared" si="1"/>
        <v>9598.5</v>
      </c>
      <c r="G58">
        <f t="shared" si="8"/>
        <v>4.1783499997109175E-2</v>
      </c>
      <c r="I58">
        <f t="shared" si="9"/>
        <v>4.1783499997109175E-2</v>
      </c>
      <c r="O58">
        <f t="shared" ca="1" si="10"/>
        <v>3.9742470457241975E-2</v>
      </c>
      <c r="Q58" s="2">
        <f t="shared" si="11"/>
        <v>44815.023999999998</v>
      </c>
    </row>
    <row r="59" spans="1:17" x14ac:dyDescent="0.2">
      <c r="A59" s="60" t="s">
        <v>111</v>
      </c>
      <c r="B59" s="61" t="s">
        <v>44</v>
      </c>
      <c r="C59" s="70">
        <v>59870.313600000001</v>
      </c>
      <c r="D59" s="60">
        <v>3.5000000000000001E-3</v>
      </c>
      <c r="E59">
        <f t="shared" si="7"/>
        <v>9662.5780938744465</v>
      </c>
      <c r="F59">
        <f t="shared" si="1"/>
        <v>9662.5</v>
      </c>
      <c r="G59">
        <f t="shared" si="8"/>
        <v>4.4887500000186265E-2</v>
      </c>
      <c r="I59">
        <f t="shared" si="9"/>
        <v>4.4887500000186265E-2</v>
      </c>
      <c r="O59">
        <f t="shared" ca="1" si="10"/>
        <v>4.002500457287924E-2</v>
      </c>
      <c r="Q59" s="2">
        <f t="shared" si="11"/>
        <v>44851.813600000001</v>
      </c>
    </row>
    <row r="60" spans="1:17" x14ac:dyDescent="0.2">
      <c r="C60" s="63"/>
      <c r="D60" s="8"/>
    </row>
    <row r="61" spans="1:17" x14ac:dyDescent="0.2">
      <c r="C61" s="63"/>
      <c r="D61" s="8"/>
    </row>
    <row r="62" spans="1:17" x14ac:dyDescent="0.2">
      <c r="C62" s="63"/>
      <c r="D62" s="8"/>
    </row>
    <row r="63" spans="1:17" x14ac:dyDescent="0.2">
      <c r="C63" s="8"/>
      <c r="D63" s="8"/>
    </row>
    <row r="64" spans="1:17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sortState xmlns:xlrd2="http://schemas.microsoft.com/office/spreadsheetml/2017/richdata2" ref="A21:U55">
    <sortCondition ref="C21:C55"/>
  </sortState>
  <phoneticPr fontId="8" type="noConversion"/>
  <hyperlinks>
    <hyperlink ref="H902" r:id="rId1" display="http://vsolj.cetus-net.org/bulletin.html" xr:uid="{00000000-0004-0000-0000-000000000000}"/>
    <hyperlink ref="H64587" r:id="rId2" display="http://vsolj.cetus-net.org/bulletin.html" xr:uid="{00000000-0004-0000-0000-000001000000}"/>
    <hyperlink ref="H64580" r:id="rId3" display="https://www.aavso.org/ejaavso" xr:uid="{00000000-0004-0000-0000-000002000000}"/>
    <hyperlink ref="AP731" r:id="rId4" display="http://cdsbib.u-strasbg.fr/cgi-bin/cdsbib?1990RMxAA..21..381G" xr:uid="{00000000-0004-0000-0000-000003000000}"/>
    <hyperlink ref="AP735" r:id="rId5" display="http://cdsbib.u-strasbg.fr/cgi-bin/cdsbib?1990RMxAA..21..381G" xr:uid="{00000000-0004-0000-0000-000004000000}"/>
    <hyperlink ref="AP734" r:id="rId6" display="http://cdsbib.u-strasbg.fr/cgi-bin/cdsbib?1990RMxAA..21..381G" xr:uid="{00000000-0004-0000-0000-000005000000}"/>
    <hyperlink ref="AP715" r:id="rId7" display="http://cdsbib.u-strasbg.fr/cgi-bin/cdsbib?1990RMxAA..21..381G" xr:uid="{00000000-0004-0000-0000-000006000000}"/>
    <hyperlink ref="I64587" r:id="rId8" display="http://vsolj.cetus-net.org/bulletin.html" xr:uid="{00000000-0004-0000-0000-000007000000}"/>
    <hyperlink ref="AQ871" r:id="rId9" display="http://cdsbib.u-strasbg.fr/cgi-bin/cdsbib?1990RMxAA..21..381G" xr:uid="{00000000-0004-0000-0000-000008000000}"/>
    <hyperlink ref="AQ55637" r:id="rId10" display="http://cdsbib.u-strasbg.fr/cgi-bin/cdsbib?1990RMxAA..21..381G" xr:uid="{00000000-0004-0000-0000-000009000000}"/>
    <hyperlink ref="AQ872" r:id="rId11" display="http://cdsbib.u-strasbg.fr/cgi-bin/cdsbib?1990RMxAA..21..381G" xr:uid="{00000000-0004-0000-0000-00000A000000}"/>
    <hyperlink ref="H64584" r:id="rId12" display="https://www.aavso.org/ejaavso" xr:uid="{00000000-0004-0000-0000-00000B000000}"/>
    <hyperlink ref="H1757" r:id="rId13" display="http://vsolj.cetus-net.org/bulletin.html" xr:uid="{00000000-0004-0000-0000-00000C000000}"/>
    <hyperlink ref="AP3001" r:id="rId14" display="http://cdsbib.u-strasbg.fr/cgi-bin/cdsbib?1990RMxAA..21..381G" xr:uid="{00000000-0004-0000-0000-00000D000000}"/>
    <hyperlink ref="AP3004" r:id="rId15" display="http://cdsbib.u-strasbg.fr/cgi-bin/cdsbib?1990RMxAA..21..381G" xr:uid="{00000000-0004-0000-0000-00000E000000}"/>
    <hyperlink ref="AP3002" r:id="rId16" display="http://cdsbib.u-strasbg.fr/cgi-bin/cdsbib?1990RMxAA..21..381G" xr:uid="{00000000-0004-0000-0000-00000F000000}"/>
    <hyperlink ref="AP2986" r:id="rId17" display="http://cdsbib.u-strasbg.fr/cgi-bin/cdsbib?1990RMxAA..21..381G" xr:uid="{00000000-0004-0000-0000-000010000000}"/>
    <hyperlink ref="I1757" r:id="rId18" display="http://vsolj.cetus-net.org/bulletin.html" xr:uid="{00000000-0004-0000-0000-000011000000}"/>
    <hyperlink ref="AQ3215" r:id="rId19" display="http://cdsbib.u-strasbg.fr/cgi-bin/cdsbib?1990RMxAA..21..381G" xr:uid="{00000000-0004-0000-0000-000012000000}"/>
    <hyperlink ref="AQ65452" r:id="rId20" display="http://cdsbib.u-strasbg.fr/cgi-bin/cdsbib?1990RMxAA..21..381G" xr:uid="{00000000-0004-0000-0000-000013000000}"/>
    <hyperlink ref="AQ3219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2"/>
  <sheetViews>
    <sheetView workbookViewId="0">
      <selection activeCell="A20" sqref="A20:D21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9" t="s">
        <v>50</v>
      </c>
      <c r="I1" s="40" t="s">
        <v>51</v>
      </c>
      <c r="J1" s="41" t="s">
        <v>52</v>
      </c>
    </row>
    <row r="2" spans="1:16" x14ac:dyDescent="0.2">
      <c r="I2" s="42" t="s">
        <v>53</v>
      </c>
      <c r="J2" s="43" t="s">
        <v>54</v>
      </c>
    </row>
    <row r="3" spans="1:16" x14ac:dyDescent="0.2">
      <c r="A3" s="44" t="s">
        <v>55</v>
      </c>
      <c r="I3" s="42" t="s">
        <v>56</v>
      </c>
      <c r="J3" s="43" t="s">
        <v>57</v>
      </c>
    </row>
    <row r="4" spans="1:16" x14ac:dyDescent="0.2">
      <c r="I4" s="42" t="s">
        <v>58</v>
      </c>
      <c r="J4" s="43" t="s">
        <v>57</v>
      </c>
    </row>
    <row r="5" spans="1:16" ht="13.5" thickBot="1" x14ac:dyDescent="0.25">
      <c r="I5" s="45" t="s">
        <v>59</v>
      </c>
      <c r="J5" s="46" t="s">
        <v>60</v>
      </c>
    </row>
    <row r="11" spans="1:16" ht="13.5" thickBot="1" x14ac:dyDescent="0.25"/>
    <row r="12" spans="1:16" ht="12.75" customHeight="1" thickBot="1" x14ac:dyDescent="0.25">
      <c r="A12" s="8" t="str">
        <f t="shared" ref="A12:A21" si="0">P12</f>
        <v>BAVM 209 </v>
      </c>
      <c r="B12" s="3" t="str">
        <f t="shared" ref="B12:B21" si="1">IF(H12=INT(H12),"I","II")</f>
        <v>II</v>
      </c>
      <c r="C12" s="8">
        <f t="shared" ref="C12:C21" si="2">1*G12</f>
        <v>54705.5069</v>
      </c>
      <c r="D12" s="10" t="str">
        <f t="shared" ref="D12:D21" si="3">VLOOKUP(F12,I$1:J$5,2,FALSE)</f>
        <v>vis</v>
      </c>
      <c r="E12" s="47">
        <f>VLOOKUP(C12,Active!C$21:E$973,3,FALSE)</f>
        <v>677.0082586827474</v>
      </c>
      <c r="F12" s="3" t="s">
        <v>59</v>
      </c>
      <c r="G12" s="10" t="str">
        <f t="shared" ref="G12:G21" si="4">MID(I12,3,LEN(I12)-3)</f>
        <v>54705.5069</v>
      </c>
      <c r="H12" s="8">
        <f t="shared" ref="H12:H21" si="5">1*K12</f>
        <v>2733.5</v>
      </c>
      <c r="I12" s="48" t="s">
        <v>72</v>
      </c>
      <c r="J12" s="49" t="s">
        <v>73</v>
      </c>
      <c r="K12" s="48" t="s">
        <v>74</v>
      </c>
      <c r="L12" s="48" t="s">
        <v>75</v>
      </c>
      <c r="M12" s="49" t="s">
        <v>64</v>
      </c>
      <c r="N12" s="49" t="s">
        <v>65</v>
      </c>
      <c r="O12" s="50" t="s">
        <v>66</v>
      </c>
      <c r="P12" s="51" t="s">
        <v>76</v>
      </c>
    </row>
    <row r="13" spans="1:16" ht="12.75" customHeight="1" thickBot="1" x14ac:dyDescent="0.25">
      <c r="A13" s="8" t="str">
        <f t="shared" si="0"/>
        <v>BAVM 234 </v>
      </c>
      <c r="B13" s="3" t="str">
        <f t="shared" si="1"/>
        <v>I</v>
      </c>
      <c r="C13" s="8">
        <f t="shared" si="2"/>
        <v>55050.364099999999</v>
      </c>
      <c r="D13" s="10" t="str">
        <f t="shared" si="3"/>
        <v>vis</v>
      </c>
      <c r="E13" s="47">
        <f>VLOOKUP(C13,Active!C$21:E$973,3,FALSE)</f>
        <v>1276.980074427305</v>
      </c>
      <c r="F13" s="3" t="s">
        <v>59</v>
      </c>
      <c r="G13" s="10" t="str">
        <f t="shared" si="4"/>
        <v>55050.3641</v>
      </c>
      <c r="H13" s="8">
        <f t="shared" si="5"/>
        <v>3161</v>
      </c>
      <c r="I13" s="48" t="s">
        <v>77</v>
      </c>
      <c r="J13" s="49" t="s">
        <v>78</v>
      </c>
      <c r="K13" s="48" t="s">
        <v>79</v>
      </c>
      <c r="L13" s="48" t="s">
        <v>80</v>
      </c>
      <c r="M13" s="49" t="s">
        <v>64</v>
      </c>
      <c r="N13" s="49" t="s">
        <v>65</v>
      </c>
      <c r="O13" s="50" t="s">
        <v>66</v>
      </c>
      <c r="P13" s="51" t="s">
        <v>81</v>
      </c>
    </row>
    <row r="14" spans="1:16" ht="12.75" customHeight="1" thickBot="1" x14ac:dyDescent="0.25">
      <c r="A14" s="8" t="str">
        <f t="shared" si="0"/>
        <v>BAVM 215 </v>
      </c>
      <c r="B14" s="3" t="str">
        <f t="shared" si="1"/>
        <v>I</v>
      </c>
      <c r="C14" s="8">
        <f t="shared" si="2"/>
        <v>55480.323400000001</v>
      </c>
      <c r="D14" s="10" t="str">
        <f t="shared" si="3"/>
        <v>vis</v>
      </c>
      <c r="E14" s="47">
        <f>VLOOKUP(C14,Active!C$21:E$973,3,FALSE)</f>
        <v>2025.0098731882456</v>
      </c>
      <c r="F14" s="3" t="s">
        <v>59</v>
      </c>
      <c r="G14" s="10" t="str">
        <f t="shared" si="4"/>
        <v>55480.3234</v>
      </c>
      <c r="H14" s="8">
        <f t="shared" si="5"/>
        <v>3694</v>
      </c>
      <c r="I14" s="48" t="s">
        <v>82</v>
      </c>
      <c r="J14" s="49" t="s">
        <v>83</v>
      </c>
      <c r="K14" s="48" t="s">
        <v>84</v>
      </c>
      <c r="L14" s="48" t="s">
        <v>85</v>
      </c>
      <c r="M14" s="49" t="s">
        <v>64</v>
      </c>
      <c r="N14" s="49" t="s">
        <v>86</v>
      </c>
      <c r="O14" s="50" t="s">
        <v>66</v>
      </c>
      <c r="P14" s="51" t="s">
        <v>87</v>
      </c>
    </row>
    <row r="15" spans="1:16" ht="12.75" customHeight="1" thickBot="1" x14ac:dyDescent="0.25">
      <c r="A15" s="8" t="str">
        <f t="shared" si="0"/>
        <v>BAVM 231 </v>
      </c>
      <c r="B15" s="3" t="str">
        <f t="shared" si="1"/>
        <v>I</v>
      </c>
      <c r="C15" s="8">
        <f t="shared" si="2"/>
        <v>56159.442799999997</v>
      </c>
      <c r="D15" s="10" t="str">
        <f t="shared" si="3"/>
        <v>vis</v>
      </c>
      <c r="E15" s="47">
        <f>VLOOKUP(C15,Active!C$21:E$973,3,FALSE)</f>
        <v>3206.5206536659443</v>
      </c>
      <c r="F15" s="3" t="s">
        <v>59</v>
      </c>
      <c r="G15" s="10" t="str">
        <f t="shared" si="4"/>
        <v>56159.4428</v>
      </c>
      <c r="H15" s="8">
        <f t="shared" si="5"/>
        <v>4536</v>
      </c>
      <c r="I15" s="48" t="s">
        <v>88</v>
      </c>
      <c r="J15" s="49" t="s">
        <v>89</v>
      </c>
      <c r="K15" s="48" t="s">
        <v>90</v>
      </c>
      <c r="L15" s="48" t="s">
        <v>91</v>
      </c>
      <c r="M15" s="49" t="s">
        <v>64</v>
      </c>
      <c r="N15" s="49" t="s">
        <v>65</v>
      </c>
      <c r="O15" s="50" t="s">
        <v>66</v>
      </c>
      <c r="P15" s="51" t="s">
        <v>92</v>
      </c>
    </row>
    <row r="16" spans="1:16" ht="12.75" customHeight="1" thickBot="1" x14ac:dyDescent="0.25">
      <c r="A16" s="8" t="str">
        <f t="shared" si="0"/>
        <v>BAVM 234 </v>
      </c>
      <c r="B16" s="3" t="str">
        <f t="shared" si="1"/>
        <v>II</v>
      </c>
      <c r="C16" s="8">
        <f t="shared" si="2"/>
        <v>56650.315900000001</v>
      </c>
      <c r="D16" s="10" t="str">
        <f t="shared" si="3"/>
        <v>vis</v>
      </c>
      <c r="E16" s="47">
        <f>VLOOKUP(C16,Active!C$21:E$973,3,FALSE)</f>
        <v>4060.5263844645579</v>
      </c>
      <c r="F16" s="3" t="s">
        <v>59</v>
      </c>
      <c r="G16" s="10" t="str">
        <f t="shared" si="4"/>
        <v>56650.3159</v>
      </c>
      <c r="H16" s="8">
        <f t="shared" si="5"/>
        <v>5144.5</v>
      </c>
      <c r="I16" s="48" t="s">
        <v>93</v>
      </c>
      <c r="J16" s="49" t="s">
        <v>94</v>
      </c>
      <c r="K16" s="48" t="s">
        <v>95</v>
      </c>
      <c r="L16" s="48" t="s">
        <v>96</v>
      </c>
      <c r="M16" s="49" t="s">
        <v>64</v>
      </c>
      <c r="N16" s="49" t="s">
        <v>65</v>
      </c>
      <c r="O16" s="50" t="s">
        <v>66</v>
      </c>
      <c r="P16" s="51" t="s">
        <v>81</v>
      </c>
    </row>
    <row r="17" spans="1:16" ht="12.75" customHeight="1" thickBot="1" x14ac:dyDescent="0.25">
      <c r="A17" s="8" t="str">
        <f t="shared" si="0"/>
        <v>BAVM 234 </v>
      </c>
      <c r="B17" s="3" t="str">
        <f t="shared" si="1"/>
        <v>II</v>
      </c>
      <c r="C17" s="8">
        <f t="shared" si="2"/>
        <v>56654.336000000003</v>
      </c>
      <c r="D17" s="10" t="str">
        <f t="shared" si="3"/>
        <v>vis</v>
      </c>
      <c r="E17" s="47">
        <f>VLOOKUP(C17,Active!C$21:E$973,3,FALSE)</f>
        <v>4067.5204292357726</v>
      </c>
      <c r="F17" s="3" t="s">
        <v>59</v>
      </c>
      <c r="G17" s="10" t="str">
        <f t="shared" si="4"/>
        <v>56654.336</v>
      </c>
      <c r="H17" s="8">
        <f t="shared" si="5"/>
        <v>5149.5</v>
      </c>
      <c r="I17" s="48" t="s">
        <v>97</v>
      </c>
      <c r="J17" s="49" t="s">
        <v>98</v>
      </c>
      <c r="K17" s="48" t="s">
        <v>99</v>
      </c>
      <c r="L17" s="48" t="s">
        <v>100</v>
      </c>
      <c r="M17" s="49" t="s">
        <v>64</v>
      </c>
      <c r="N17" s="49" t="s">
        <v>65</v>
      </c>
      <c r="O17" s="50" t="s">
        <v>66</v>
      </c>
      <c r="P17" s="51" t="s">
        <v>81</v>
      </c>
    </row>
    <row r="18" spans="1:16" ht="12.75" customHeight="1" thickBot="1" x14ac:dyDescent="0.25">
      <c r="A18" s="8" t="str">
        <f t="shared" si="0"/>
        <v>BAVM 234 </v>
      </c>
      <c r="B18" s="3" t="str">
        <f t="shared" si="1"/>
        <v>I</v>
      </c>
      <c r="C18" s="8">
        <f t="shared" si="2"/>
        <v>56657.214</v>
      </c>
      <c r="D18" s="10" t="str">
        <f t="shared" si="3"/>
        <v>vis</v>
      </c>
      <c r="E18" s="47">
        <f>VLOOKUP(C18,Active!C$21:E$973,3,FALSE)</f>
        <v>4072.5274839984713</v>
      </c>
      <c r="F18" s="3" t="s">
        <v>59</v>
      </c>
      <c r="G18" s="10" t="str">
        <f t="shared" si="4"/>
        <v>56657.214</v>
      </c>
      <c r="H18" s="8">
        <f t="shared" si="5"/>
        <v>5153</v>
      </c>
      <c r="I18" s="48" t="s">
        <v>101</v>
      </c>
      <c r="J18" s="49" t="s">
        <v>102</v>
      </c>
      <c r="K18" s="48" t="s">
        <v>103</v>
      </c>
      <c r="L18" s="48" t="s">
        <v>104</v>
      </c>
      <c r="M18" s="49" t="s">
        <v>64</v>
      </c>
      <c r="N18" s="49" t="s">
        <v>65</v>
      </c>
      <c r="O18" s="50" t="s">
        <v>66</v>
      </c>
      <c r="P18" s="51" t="s">
        <v>81</v>
      </c>
    </row>
    <row r="19" spans="1:16" ht="12.75" customHeight="1" thickBot="1" x14ac:dyDescent="0.25">
      <c r="A19" s="8" t="str">
        <f t="shared" si="0"/>
        <v>BAVM 239 </v>
      </c>
      <c r="B19" s="3" t="str">
        <f t="shared" si="1"/>
        <v>II</v>
      </c>
      <c r="C19" s="8">
        <f t="shared" si="2"/>
        <v>56937.4254</v>
      </c>
      <c r="D19" s="10" t="str">
        <f t="shared" si="3"/>
        <v>vis</v>
      </c>
      <c r="E19" s="47">
        <f>VLOOKUP(C19,Active!C$21:E$973,3,FALSE)</f>
        <v>4560.0305503410773</v>
      </c>
      <c r="F19" s="3" t="s">
        <v>59</v>
      </c>
      <c r="G19" s="10" t="str">
        <f t="shared" si="4"/>
        <v>56937.4254</v>
      </c>
      <c r="H19" s="8">
        <f t="shared" si="5"/>
        <v>5500.5</v>
      </c>
      <c r="I19" s="48" t="s">
        <v>105</v>
      </c>
      <c r="J19" s="49" t="s">
        <v>106</v>
      </c>
      <c r="K19" s="48" t="s">
        <v>107</v>
      </c>
      <c r="L19" s="48" t="s">
        <v>108</v>
      </c>
      <c r="M19" s="49" t="s">
        <v>64</v>
      </c>
      <c r="N19" s="49" t="s">
        <v>65</v>
      </c>
      <c r="O19" s="50" t="s">
        <v>66</v>
      </c>
      <c r="P19" s="51" t="s">
        <v>109</v>
      </c>
    </row>
    <row r="20" spans="1:16" ht="12.75" customHeight="1" thickBot="1" x14ac:dyDescent="0.25">
      <c r="A20" s="8" t="str">
        <f t="shared" si="0"/>
        <v>BAVM 203 </v>
      </c>
      <c r="B20" s="3" t="str">
        <f t="shared" si="1"/>
        <v>I</v>
      </c>
      <c r="C20" s="8">
        <f t="shared" si="2"/>
        <v>54682.514300000003</v>
      </c>
      <c r="D20" s="10" t="str">
        <f t="shared" si="3"/>
        <v>vis</v>
      </c>
      <c r="E20" s="47">
        <f>VLOOKUP(C20,Active!C$21:E$973,3,FALSE)</f>
        <v>637.00644932314276</v>
      </c>
      <c r="F20" s="3" t="s">
        <v>59</v>
      </c>
      <c r="G20" s="10" t="str">
        <f t="shared" si="4"/>
        <v>54682.5143</v>
      </c>
      <c r="H20" s="8">
        <f t="shared" si="5"/>
        <v>2705</v>
      </c>
      <c r="I20" s="48" t="s">
        <v>68</v>
      </c>
      <c r="J20" s="49" t="s">
        <v>69</v>
      </c>
      <c r="K20" s="48" t="s">
        <v>70</v>
      </c>
      <c r="L20" s="48" t="s">
        <v>71</v>
      </c>
      <c r="M20" s="49" t="s">
        <v>64</v>
      </c>
      <c r="N20" s="49" t="s">
        <v>65</v>
      </c>
      <c r="O20" s="50" t="s">
        <v>66</v>
      </c>
      <c r="P20" s="51" t="s">
        <v>67</v>
      </c>
    </row>
    <row r="21" spans="1:16" ht="12.75" customHeight="1" thickBot="1" x14ac:dyDescent="0.25">
      <c r="A21" s="8" t="str">
        <f t="shared" si="0"/>
        <v>BAVM 203 </v>
      </c>
      <c r="B21" s="3" t="str">
        <f t="shared" si="1"/>
        <v>II</v>
      </c>
      <c r="C21" s="8">
        <f t="shared" si="2"/>
        <v>54663.546900000001</v>
      </c>
      <c r="D21" s="10" t="str">
        <f t="shared" si="3"/>
        <v>vis</v>
      </c>
      <c r="E21" s="47">
        <f>VLOOKUP(C21,Active!C$21:E$973,3,FALSE)</f>
        <v>604.00755755590069</v>
      </c>
      <c r="F21" s="3" t="s">
        <v>59</v>
      </c>
      <c r="G21" s="10" t="str">
        <f t="shared" si="4"/>
        <v>54663.5469</v>
      </c>
      <c r="H21" s="8">
        <f t="shared" si="5"/>
        <v>2681.5</v>
      </c>
      <c r="I21" s="48" t="s">
        <v>61</v>
      </c>
      <c r="J21" s="49" t="s">
        <v>62</v>
      </c>
      <c r="K21" s="48">
        <v>2681.5</v>
      </c>
      <c r="L21" s="48" t="s">
        <v>63</v>
      </c>
      <c r="M21" s="49" t="s">
        <v>64</v>
      </c>
      <c r="N21" s="49" t="s">
        <v>65</v>
      </c>
      <c r="O21" s="50" t="s">
        <v>66</v>
      </c>
      <c r="P21" s="51" t="s">
        <v>67</v>
      </c>
    </row>
    <row r="22" spans="1:16" x14ac:dyDescent="0.2">
      <c r="B22" s="3"/>
      <c r="F22" s="3"/>
    </row>
    <row r="23" spans="1:16" x14ac:dyDescent="0.2">
      <c r="B23" s="3"/>
      <c r="F23" s="3"/>
    </row>
    <row r="24" spans="1:16" x14ac:dyDescent="0.2">
      <c r="B24" s="3"/>
      <c r="F24" s="3"/>
    </row>
    <row r="25" spans="1:16" x14ac:dyDescent="0.2">
      <c r="B25" s="3"/>
      <c r="F25" s="3"/>
    </row>
    <row r="26" spans="1:16" x14ac:dyDescent="0.2">
      <c r="B26" s="3"/>
      <c r="F26" s="3"/>
    </row>
    <row r="27" spans="1:16" x14ac:dyDescent="0.2">
      <c r="B27" s="3"/>
      <c r="F27" s="3"/>
    </row>
    <row r="28" spans="1:16" x14ac:dyDescent="0.2">
      <c r="B28" s="3"/>
      <c r="F28" s="3"/>
    </row>
    <row r="29" spans="1:16" x14ac:dyDescent="0.2">
      <c r="B29" s="3"/>
      <c r="F29" s="3"/>
    </row>
    <row r="30" spans="1:16" x14ac:dyDescent="0.2">
      <c r="B30" s="3"/>
      <c r="F30" s="3"/>
    </row>
    <row r="31" spans="1:16" x14ac:dyDescent="0.2">
      <c r="B31" s="3"/>
      <c r="F31" s="3"/>
    </row>
    <row r="32" spans="1:16" x14ac:dyDescent="0.2">
      <c r="B32" s="3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</sheetData>
  <phoneticPr fontId="8" type="noConversion"/>
  <hyperlinks>
    <hyperlink ref="P21" r:id="rId1" display="http://www.bav-astro.de/sfs/BAVM_link.php?BAVMnr=203" xr:uid="{00000000-0004-0000-0100-000000000000}"/>
    <hyperlink ref="P20" r:id="rId2" display="http://www.bav-astro.de/sfs/BAVM_link.php?BAVMnr=203" xr:uid="{00000000-0004-0000-0100-000001000000}"/>
    <hyperlink ref="P12" r:id="rId3" display="http://www.bav-astro.de/sfs/BAVM_link.php?BAVMnr=209" xr:uid="{00000000-0004-0000-0100-000002000000}"/>
    <hyperlink ref="P13" r:id="rId4" display="http://www.bav-astro.de/sfs/BAVM_link.php?BAVMnr=234" xr:uid="{00000000-0004-0000-0100-000003000000}"/>
    <hyperlink ref="P14" r:id="rId5" display="http://www.bav-astro.de/sfs/BAVM_link.php?BAVMnr=215" xr:uid="{00000000-0004-0000-0100-000004000000}"/>
    <hyperlink ref="P15" r:id="rId6" display="http://www.bav-astro.de/sfs/BAVM_link.php?BAVMnr=231" xr:uid="{00000000-0004-0000-0100-000005000000}"/>
    <hyperlink ref="P16" r:id="rId7" display="http://www.bav-astro.de/sfs/BAVM_link.php?BAVMnr=234" xr:uid="{00000000-0004-0000-0100-000006000000}"/>
    <hyperlink ref="P17" r:id="rId8" display="http://www.bav-astro.de/sfs/BAVM_link.php?BAVMnr=234" xr:uid="{00000000-0004-0000-0100-000007000000}"/>
    <hyperlink ref="P18" r:id="rId9" display="http://www.bav-astro.de/sfs/BAVM_link.php?BAVMnr=234" xr:uid="{00000000-0004-0000-0100-000008000000}"/>
    <hyperlink ref="P19" r:id="rId10" display="http://www.bav-astro.de/sfs/BAVM_link.php?BAVMnr=239" xr:uid="{00000000-0004-0000-0100-000009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2023-08-14T07:22:47Z</dcterms:modified>
</cp:coreProperties>
</file>