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360" windowHeight="144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<sst xmlns="http://schemas.openxmlformats.org/spreadsheetml/2006/main" count="56" uniqueCount="51">
  <si>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</si>
  <si>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</si>
  <si>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</si>
  <si>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</si>
  <si>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</si>
  <si>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</si>
  <si>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</si>
  <si>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</si>
  <si>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</si>
  <si>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</si>
  <si>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</si>
  <si>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</si>
  <si>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</si>
  <si>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</si>
  <si>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</si>
  <si>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</si>
  <si>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</si>
  <si>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</si>
  <si>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</si>
  <si>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</si>
  <si>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</si>
  <si>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</si>
  <si>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</si>
  <si>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</si>
  <si>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</si>
  <si>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</si>
  <si>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</si>
  <si>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</si>
  <si>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</si>
  <si>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</si>
  <si>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</si>
  <si>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</si>
  <si>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</si>
  <si>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</si>
  <si>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</si>
  <si>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</si>
  <si>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</si>
  <si>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</si>
  <si>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</si>
  <si>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</si>
  <si>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</si>
  <si>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</si>
  <si>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</si>
  <si>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V2134 Cyg</t>
  </si>
  <si>
    <t>G3178-0162</t>
  </si>
  <si>
    <t>EB</t>
  </si>
  <si>
    <t>pr_6</t>
  </si>
  <si>
    <t>A3</t>
  </si>
  <si>
    <t>V2134 Cyg / GSC 3178-0162</t>
  </si>
  <si>
    <t>VSX</t>
  </si>
  <si>
    <t>OEJV 0179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</si>
</sst>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24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13" fillId="24" borderId="5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5" fillId="22" borderId="5" xfId="0" applyFont="1" applyFill="1" applyBorder="1" applyAlignment="1">
      <alignment horizontal="left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left"/>
    </xf>
    <xf numFmtId="0" fontId="0" fillId="22" borderId="5" xfId="0" applyFill="1" applyBorder="1" applyAlignment="1">
      <alignment vertical="top"/>
    </xf>
    <xf numFmtId="0" fontId="14" fillId="0" borderId="0" xfId="61" applyFont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V2134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6479476"/>
        <c:axId val="58315285"/>
      </c:scatterChart>
      <c:valAx>
        <c:axId val="6479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crossBetween val="midCat"/>
        <c:dispUnits/>
      </c:valAx>
      <c:valAx>
        <c:axId val="58315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4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3" t="s">
        <v>43</v>
      </c>
      <c r="G1" s="34">
        <v>2013</v>
      </c>
      <c r="H1" s="35"/>
      <c r="I1" s="36" t="s">
        <v>44</v>
      </c>
      <c r="J1" s="37" t="s">
        <v>43</v>
      </c>
      <c r="K1" s="38">
        <v>20.47433</v>
      </c>
      <c r="L1" s="39">
        <v>43.1612</v>
      </c>
      <c r="M1" s="40">
        <v>48500.795</v>
      </c>
      <c r="N1" s="40">
        <v>1.42921</v>
      </c>
      <c r="O1" s="41" t="s">
        <v>45</v>
      </c>
      <c r="P1" s="42">
        <v>8.32</v>
      </c>
      <c r="Q1" s="42">
        <v>8.49</v>
      </c>
      <c r="R1" s="43" t="s">
        <v>46</v>
      </c>
      <c r="S1" s="41" t="s">
        <v>47</v>
      </c>
    </row>
    <row r="2" spans="1:4" ht="12.75">
      <c r="A2" t="s">
        <v>24</v>
      </c>
      <c r="B2" t="s">
        <v>45</v>
      </c>
      <c r="C2" s="30"/>
      <c r="D2" s="3"/>
    </row>
    <row r="3" ht="13.5" thickBot="1"/>
    <row r="4" spans="1:4" ht="14.25" thickBot="1" thickTop="1">
      <c r="A4" s="5" t="s">
        <v>1</v>
      </c>
      <c r="C4" s="27" t="s">
        <v>38</v>
      </c>
      <c r="D4" s="28" t="s">
        <v>38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48500.795</v>
      </c>
      <c r="D7" s="41" t="s">
        <v>49</v>
      </c>
    </row>
    <row r="8" spans="1:4" ht="12.75">
      <c r="A8" t="s">
        <v>4</v>
      </c>
      <c r="C8" s="8">
        <f>N1</f>
        <v>1.42921</v>
      </c>
      <c r="D8" s="29" t="str">
        <f>D7</f>
        <v>VSX</v>
      </c>
    </row>
    <row r="9" spans="1:5" ht="12.75">
      <c r="A9" s="24" t="s">
        <v>33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INTERCEPT(INDIRECT($E$9):G992,INDIRECT($D$9):F992)</f>
        <v>0</v>
      </c>
      <c r="D11" s="3"/>
      <c r="E11" s="10"/>
    </row>
    <row r="12" spans="1:5" ht="12.75">
      <c r="A12" s="10" t="s">
        <v>17</v>
      </c>
      <c r="B12" s="10"/>
      <c r="C12" s="21">
        <f ca="1">SLOPE(INDIRECT($E$9):G992,INDIRECT($D$9):F992)</f>
        <v>2.7708850293635946E-06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57140.3862</v>
      </c>
      <c r="E15" s="14" t="s">
        <v>35</v>
      </c>
      <c r="F15" s="31">
        <v>1</v>
      </c>
    </row>
    <row r="16" spans="1:6" ht="12.75">
      <c r="A16" s="16" t="s">
        <v>5</v>
      </c>
      <c r="B16" s="10"/>
      <c r="C16" s="17">
        <f>+C8+C12</f>
        <v>1.4292127708850295</v>
      </c>
      <c r="E16" s="14" t="s">
        <v>31</v>
      </c>
      <c r="F16" s="32">
        <f ca="1">NOW()+15018.5+$C$5/24</f>
        <v>59897.52711585648</v>
      </c>
    </row>
    <row r="17" spans="1:6" ht="13.5" thickBot="1">
      <c r="A17" s="14" t="s">
        <v>28</v>
      </c>
      <c r="B17" s="10"/>
      <c r="C17" s="10">
        <f>COUNT(C21:C2191)</f>
        <v>2</v>
      </c>
      <c r="E17" s="14" t="s">
        <v>36</v>
      </c>
      <c r="F17" s="15">
        <f>ROUND(2*(F16-$C$7)/$C$8,0)/2+F15</f>
        <v>7975</v>
      </c>
    </row>
    <row r="18" spans="1:6" ht="14.25" thickBot="1" thickTop="1">
      <c r="A18" s="16" t="s">
        <v>6</v>
      </c>
      <c r="B18" s="10"/>
      <c r="C18" s="19">
        <f>+C15</f>
        <v>57140.3862</v>
      </c>
      <c r="D18" s="20">
        <f>+C16</f>
        <v>1.4292127708850295</v>
      </c>
      <c r="E18" s="14" t="s">
        <v>37</v>
      </c>
      <c r="F18" s="23">
        <f>ROUND(2*(F16-$C$15)/$C$16,0)/2+F15</f>
        <v>1930</v>
      </c>
    </row>
    <row r="19" spans="5:6" ht="13.5" thickTop="1">
      <c r="E19" s="14" t="s">
        <v>32</v>
      </c>
      <c r="F19" s="18">
        <f>+$C$15+$C$16*F18-15018.5-$C$5/24</f>
        <v>44880.662681141446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6" t="s">
        <v>34</v>
      </c>
    </row>
    <row r="21" spans="1:17" ht="12.75">
      <c r="A21" t="s">
        <v>49</v>
      </c>
      <c r="C21" s="8">
        <v>48500.795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</v>
      </c>
      <c r="Q21" s="2">
        <f>+C21-15018.5</f>
        <v>33482.295</v>
      </c>
    </row>
    <row r="22" spans="1:17" ht="12.75">
      <c r="A22" s="44" t="s">
        <v>50</v>
      </c>
      <c r="B22" s="45" t="s">
        <v>0</v>
      </c>
      <c r="C22" s="46">
        <v>57140.3862</v>
      </c>
      <c r="D22" s="46">
        <v>0.0003</v>
      </c>
      <c r="E22">
        <f>+(C22-C$7)/C$8</f>
        <v>6045.011719761268</v>
      </c>
      <c r="F22">
        <f>ROUND(2*E22,0)/2</f>
        <v>6045</v>
      </c>
      <c r="G22">
        <f>+C22-(C$7+F22*C$8)</f>
        <v>0.01675000000250293</v>
      </c>
      <c r="K22">
        <f>+G22</f>
        <v>0.01675000000250293</v>
      </c>
      <c r="O22">
        <f>+C$11+C$12*$F22</f>
        <v>0.01675000000250293</v>
      </c>
      <c r="Q22" s="2">
        <f>+C22-15018.5</f>
        <v>42121.8862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881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