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772E77B-C297-4A2B-90BD-36F2051FFF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2" r:id="rId1"/>
    <sheet name="A" sheetId="1" r:id="rId2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53" i="2" l="1"/>
  <c r="F53" i="2" s="1"/>
  <c r="Q53" i="2"/>
  <c r="E54" i="2"/>
  <c r="F54" i="2" s="1"/>
  <c r="Q54" i="2"/>
  <c r="E55" i="2"/>
  <c r="F55" i="2" s="1"/>
  <c r="Q55" i="2"/>
  <c r="E48" i="2"/>
  <c r="F48" i="2" s="1"/>
  <c r="Q48" i="2"/>
  <c r="E49" i="2"/>
  <c r="F49" i="2" s="1"/>
  <c r="Q49" i="2"/>
  <c r="E50" i="2"/>
  <c r="F50" i="2" s="1"/>
  <c r="Q50" i="2"/>
  <c r="E52" i="2"/>
  <c r="F52" i="2" s="1"/>
  <c r="G52" i="2" s="1"/>
  <c r="K52" i="2" s="1"/>
  <c r="Q52" i="2"/>
  <c r="E56" i="2"/>
  <c r="F56" i="2" s="1"/>
  <c r="Q56" i="2"/>
  <c r="E51" i="2"/>
  <c r="F51" i="2" s="1"/>
  <c r="D11" i="2"/>
  <c r="W11" i="2" s="1"/>
  <c r="D12" i="2"/>
  <c r="Q51" i="2"/>
  <c r="D9" i="2"/>
  <c r="C9" i="2"/>
  <c r="E46" i="2"/>
  <c r="F46" i="2" s="1"/>
  <c r="G46" i="2" s="1"/>
  <c r="K46" i="2" s="1"/>
  <c r="E47" i="2"/>
  <c r="F47" i="2" s="1"/>
  <c r="G47" i="2" s="1"/>
  <c r="K47" i="2" s="1"/>
  <c r="Q46" i="2"/>
  <c r="Q47" i="2"/>
  <c r="E45" i="2"/>
  <c r="F45" i="2" s="1"/>
  <c r="Q45" i="2"/>
  <c r="E44" i="2"/>
  <c r="F44" i="2" s="1"/>
  <c r="D13" i="2"/>
  <c r="Q44" i="2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G31" i="2" s="1"/>
  <c r="J31" i="2" s="1"/>
  <c r="E32" i="2"/>
  <c r="F32" i="2"/>
  <c r="G32" i="2" s="1"/>
  <c r="E33" i="2"/>
  <c r="F33" i="2" s="1"/>
  <c r="E34" i="2"/>
  <c r="F34" i="2" s="1"/>
  <c r="G34" i="2" s="1"/>
  <c r="K34" i="2" s="1"/>
  <c r="E35" i="2"/>
  <c r="F35" i="2" s="1"/>
  <c r="E36" i="2"/>
  <c r="F36" i="2" s="1"/>
  <c r="E37" i="2"/>
  <c r="F37" i="2" s="1"/>
  <c r="G37" i="2" s="1"/>
  <c r="K37" i="2" s="1"/>
  <c r="E38" i="2"/>
  <c r="F38" i="2" s="1"/>
  <c r="G38" i="2" s="1"/>
  <c r="K38" i="2" s="1"/>
  <c r="E39" i="2"/>
  <c r="F39" i="2" s="1"/>
  <c r="E40" i="2"/>
  <c r="F40" i="2" s="1"/>
  <c r="G40" i="2" s="1"/>
  <c r="K40" i="2" s="1"/>
  <c r="E41" i="2"/>
  <c r="F41" i="2" s="1"/>
  <c r="E42" i="2"/>
  <c r="F42" i="2" s="1"/>
  <c r="E43" i="2"/>
  <c r="F43" i="2" s="1"/>
  <c r="Q43" i="2"/>
  <c r="Q35" i="2"/>
  <c r="Q36" i="2"/>
  <c r="Q38" i="2"/>
  <c r="Q37" i="2"/>
  <c r="Q34" i="2"/>
  <c r="Q39" i="2"/>
  <c r="E22" i="2"/>
  <c r="F22" i="2" s="1"/>
  <c r="G22" i="2" s="1"/>
  <c r="K22" i="2" s="1"/>
  <c r="E23" i="2"/>
  <c r="F23" i="2"/>
  <c r="G23" i="2" s="1"/>
  <c r="K23" i="2" s="1"/>
  <c r="E24" i="2"/>
  <c r="F24" i="2" s="1"/>
  <c r="E25" i="2"/>
  <c r="F25" i="2" s="1"/>
  <c r="G25" i="2" s="1"/>
  <c r="J25" i="2" s="1"/>
  <c r="Q42" i="2"/>
  <c r="E21" i="2"/>
  <c r="F21" i="2" s="1"/>
  <c r="Q41" i="2"/>
  <c r="Q21" i="2"/>
  <c r="F16" i="2"/>
  <c r="F17" i="2" s="1"/>
  <c r="Q40" i="2"/>
  <c r="Q33" i="2"/>
  <c r="Q30" i="2"/>
  <c r="Q31" i="2"/>
  <c r="Q32" i="2"/>
  <c r="Q28" i="2"/>
  <c r="Q27" i="2"/>
  <c r="Q26" i="2"/>
  <c r="Q25" i="2"/>
  <c r="Q24" i="2"/>
  <c r="C17" i="2"/>
  <c r="Q22" i="2"/>
  <c r="Q23" i="2"/>
  <c r="Q29" i="2"/>
  <c r="E24" i="1"/>
  <c r="F24" i="1"/>
  <c r="G24" i="1" s="1"/>
  <c r="I24" i="1" s="1"/>
  <c r="F11" i="1"/>
  <c r="Q24" i="1"/>
  <c r="E23" i="1"/>
  <c r="F23" i="1"/>
  <c r="G23" i="1" s="1"/>
  <c r="I23" i="1" s="1"/>
  <c r="G11" i="1"/>
  <c r="Q23" i="1"/>
  <c r="E22" i="1"/>
  <c r="F22" i="1" s="1"/>
  <c r="G22" i="1" s="1"/>
  <c r="I22" i="1" s="1"/>
  <c r="Q22" i="1"/>
  <c r="R22" i="1"/>
  <c r="E21" i="1"/>
  <c r="F21" i="1"/>
  <c r="G21" i="1"/>
  <c r="H21" i="1" s="1"/>
  <c r="E15" i="1"/>
  <c r="C17" i="1"/>
  <c r="Q21" i="1"/>
  <c r="C12" i="1"/>
  <c r="W15" i="2" l="1"/>
  <c r="W9" i="2"/>
  <c r="G54" i="2"/>
  <c r="K54" i="2" s="1"/>
  <c r="P54" i="2"/>
  <c r="R54" i="2" s="1"/>
  <c r="T54" i="2" s="1"/>
  <c r="G53" i="2"/>
  <c r="K53" i="2" s="1"/>
  <c r="P53" i="2"/>
  <c r="W5" i="2"/>
  <c r="W25" i="2"/>
  <c r="G55" i="2"/>
  <c r="K55" i="2" s="1"/>
  <c r="P55" i="2"/>
  <c r="P26" i="2"/>
  <c r="P21" i="2"/>
  <c r="W23" i="2"/>
  <c r="G28" i="2"/>
  <c r="J28" i="2" s="1"/>
  <c r="P28" i="2"/>
  <c r="P41" i="2"/>
  <c r="G41" i="2"/>
  <c r="K41" i="2" s="1"/>
  <c r="P34" i="2"/>
  <c r="R34" i="2" s="1"/>
  <c r="T34" i="2" s="1"/>
  <c r="P32" i="2"/>
  <c r="P52" i="2"/>
  <c r="R52" i="2" s="1"/>
  <c r="T52" i="2" s="1"/>
  <c r="G50" i="2"/>
  <c r="K50" i="2" s="1"/>
  <c r="P50" i="2"/>
  <c r="G49" i="2"/>
  <c r="K49" i="2" s="1"/>
  <c r="P49" i="2"/>
  <c r="P56" i="2"/>
  <c r="G56" i="2"/>
  <c r="K56" i="2" s="1"/>
  <c r="G48" i="2"/>
  <c r="K48" i="2" s="1"/>
  <c r="P48" i="2"/>
  <c r="C16" i="1"/>
  <c r="D18" i="1" s="1"/>
  <c r="P35" i="2"/>
  <c r="G35" i="2"/>
  <c r="P29" i="2"/>
  <c r="G29" i="2"/>
  <c r="K29" i="2" s="1"/>
  <c r="G44" i="2"/>
  <c r="K44" i="2" s="1"/>
  <c r="P44" i="2"/>
  <c r="P39" i="2"/>
  <c r="G39" i="2"/>
  <c r="K39" i="2" s="1"/>
  <c r="G33" i="2"/>
  <c r="J33" i="2" s="1"/>
  <c r="P33" i="2"/>
  <c r="P45" i="2"/>
  <c r="G45" i="2"/>
  <c r="K45" i="2" s="1"/>
  <c r="P43" i="2"/>
  <c r="G43" i="2"/>
  <c r="K43" i="2" s="1"/>
  <c r="J32" i="2"/>
  <c r="R32" i="2"/>
  <c r="T32" i="2" s="1"/>
  <c r="G27" i="2"/>
  <c r="J27" i="2" s="1"/>
  <c r="P27" i="2"/>
  <c r="G30" i="2"/>
  <c r="K30" i="2" s="1"/>
  <c r="P30" i="2"/>
  <c r="G42" i="2"/>
  <c r="K42" i="2" s="1"/>
  <c r="P42" i="2"/>
  <c r="G24" i="2"/>
  <c r="J24" i="2" s="1"/>
  <c r="P24" i="2"/>
  <c r="P36" i="2"/>
  <c r="G36" i="2"/>
  <c r="I36" i="2" s="1"/>
  <c r="P51" i="2"/>
  <c r="G51" i="2"/>
  <c r="K51" i="2" s="1"/>
  <c r="W19" i="2"/>
  <c r="U21" i="2"/>
  <c r="P23" i="2"/>
  <c r="R23" i="2" s="1"/>
  <c r="T23" i="2" s="1"/>
  <c r="P22" i="2"/>
  <c r="R22" i="2" s="1"/>
  <c r="T22" i="2" s="1"/>
  <c r="W14" i="2"/>
  <c r="W7" i="2"/>
  <c r="G26" i="2"/>
  <c r="J26" i="2" s="1"/>
  <c r="D15" i="2"/>
  <c r="C19" i="2" s="1"/>
  <c r="W10" i="2"/>
  <c r="W4" i="2"/>
  <c r="P38" i="2"/>
  <c r="R38" i="2" s="1"/>
  <c r="T38" i="2" s="1"/>
  <c r="W3" i="2"/>
  <c r="P47" i="2"/>
  <c r="R47" i="2" s="1"/>
  <c r="T47" i="2" s="1"/>
  <c r="P31" i="2"/>
  <c r="R31" i="2" s="1"/>
  <c r="T31" i="2" s="1"/>
  <c r="P37" i="2"/>
  <c r="R37" i="2" s="1"/>
  <c r="T37" i="2" s="1"/>
  <c r="P46" i="2"/>
  <c r="R46" i="2" s="1"/>
  <c r="T46" i="2" s="1"/>
  <c r="W6" i="2"/>
  <c r="W18" i="2"/>
  <c r="W8" i="2"/>
  <c r="W21" i="2"/>
  <c r="W12" i="2"/>
  <c r="W22" i="2"/>
  <c r="P40" i="2"/>
  <c r="R40" i="2" s="1"/>
  <c r="T40" i="2" s="1"/>
  <c r="D16" i="2"/>
  <c r="D19" i="2" s="1"/>
  <c r="P25" i="2"/>
  <c r="R25" i="2" s="1"/>
  <c r="T25" i="2" s="1"/>
  <c r="W20" i="2"/>
  <c r="W17" i="2"/>
  <c r="W16" i="2"/>
  <c r="W2" i="2"/>
  <c r="W24" i="2"/>
  <c r="W13" i="2"/>
  <c r="C11" i="1"/>
  <c r="C11" i="2"/>
  <c r="C12" i="2"/>
  <c r="R49" i="2" l="1"/>
  <c r="T49" i="2" s="1"/>
  <c r="R53" i="2"/>
  <c r="T53" i="2" s="1"/>
  <c r="O54" i="2"/>
  <c r="O53" i="2"/>
  <c r="R41" i="2"/>
  <c r="T41" i="2" s="1"/>
  <c r="R26" i="2"/>
  <c r="T26" i="2" s="1"/>
  <c r="R39" i="2"/>
  <c r="T39" i="2" s="1"/>
  <c r="O55" i="2"/>
  <c r="R55" i="2"/>
  <c r="T55" i="2" s="1"/>
  <c r="R48" i="2"/>
  <c r="T48" i="2" s="1"/>
  <c r="R43" i="2"/>
  <c r="T43" i="2" s="1"/>
  <c r="R45" i="2"/>
  <c r="T45" i="2" s="1"/>
  <c r="R24" i="2"/>
  <c r="T24" i="2" s="1"/>
  <c r="R35" i="2"/>
  <c r="T35" i="2" s="1"/>
  <c r="R28" i="2"/>
  <c r="T28" i="2" s="1"/>
  <c r="O48" i="2"/>
  <c r="O56" i="2"/>
  <c r="O49" i="2"/>
  <c r="O50" i="2"/>
  <c r="O52" i="2"/>
  <c r="R56" i="2"/>
  <c r="T56" i="2" s="1"/>
  <c r="R50" i="2"/>
  <c r="T50" i="2" s="1"/>
  <c r="O24" i="1"/>
  <c r="O23" i="1"/>
  <c r="C15" i="1"/>
  <c r="O22" i="1"/>
  <c r="O21" i="1"/>
  <c r="O44" i="2"/>
  <c r="O35" i="2"/>
  <c r="O24" i="2"/>
  <c r="O26" i="2"/>
  <c r="O38" i="2"/>
  <c r="O27" i="2"/>
  <c r="O42" i="2"/>
  <c r="O25" i="2"/>
  <c r="O47" i="2"/>
  <c r="O23" i="2"/>
  <c r="C15" i="2"/>
  <c r="O28" i="2"/>
  <c r="O39" i="2"/>
  <c r="O22" i="2"/>
  <c r="O32" i="2"/>
  <c r="O43" i="2"/>
  <c r="O37" i="2"/>
  <c r="O41" i="2"/>
  <c r="O34" i="2"/>
  <c r="O51" i="2"/>
  <c r="O30" i="2"/>
  <c r="O29" i="2"/>
  <c r="O31" i="2"/>
  <c r="O45" i="2"/>
  <c r="O46" i="2"/>
  <c r="O21" i="2"/>
  <c r="O36" i="2"/>
  <c r="O33" i="2"/>
  <c r="O40" i="2"/>
  <c r="C16" i="2"/>
  <c r="D18" i="2" s="1"/>
  <c r="R42" i="2"/>
  <c r="T42" i="2" s="1"/>
  <c r="R44" i="2"/>
  <c r="T44" i="2" s="1"/>
  <c r="R51" i="2"/>
  <c r="T51" i="2" s="1"/>
  <c r="R30" i="2"/>
  <c r="T30" i="2" s="1"/>
  <c r="R29" i="2"/>
  <c r="T29" i="2" s="1"/>
  <c r="R36" i="2"/>
  <c r="T36" i="2" s="1"/>
  <c r="R27" i="2"/>
  <c r="T27" i="2" s="1"/>
  <c r="R33" i="2"/>
  <c r="T33" i="2" s="1"/>
  <c r="K35" i="2"/>
  <c r="E14" i="2" l="1"/>
  <c r="C18" i="2"/>
  <c r="F18" i="2"/>
  <c r="F19" i="2" s="1"/>
  <c r="C18" i="1"/>
  <c r="E16" i="1"/>
  <c r="E17" i="1" s="1"/>
</calcChain>
</file>

<file path=xl/sharedStrings.xml><?xml version="1.0" encoding="utf-8"?>
<sst xmlns="http://schemas.openxmlformats.org/spreadsheetml/2006/main" count="168" uniqueCount="82">
  <si>
    <t>VSB-063</t>
  </si>
  <si>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</si>
  <si>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</si>
  <si>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</si>
  <si>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</si>
  <si>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</si>
  <si>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</si>
  <si>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</si>
  <si>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</si>
  <si>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</si>
  <si>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</si>
  <si>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</si>
  <si>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</si>
  <si>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</si>
  <si>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</si>
  <si>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</si>
  <si>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</si>
  <si>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</si>
  <si>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</si>
  <si>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</si>
  <si>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</si>
  <si>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</si>
  <si>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</si>
  <si>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</si>
  <si>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</si>
  <si>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</si>
  <si>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</si>
  <si>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</si>
  <si>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</si>
  <si>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</si>
  <si>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</si>
  <si>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</si>
  <si>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</si>
  <si>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</si>
  <si>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</si>
  <si>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</si>
  <si>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</si>
  <si>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</si>
  <si>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</si>
  <si>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</si>
  <si>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</si>
  <si>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GSC 3581-1856</t>
  </si>
  <si>
    <t>not avail.</t>
  </si>
  <si>
    <t>IBVS 5570</t>
  </si>
  <si>
    <t>EW</t>
  </si>
  <si>
    <t>Cyg</t>
  </si>
  <si>
    <t>Nelson</t>
  </si>
  <si>
    <t>IBVS 5966</t>
  </si>
  <si>
    <t>IBVS 6018</t>
  </si>
  <si>
    <t>RHN 2013</t>
  </si>
  <si>
    <t>V2552 Cyg / GSC 3581-1856</t>
  </si>
  <si>
    <t>IBVS 6048</t>
  </si>
  <si>
    <t>I</t>
  </si>
  <si>
    <t>IBVS 6070</t>
  </si>
  <si>
    <t>IBVS 6084</t>
  </si>
  <si>
    <t>BAD?</t>
  </si>
  <si>
    <t>IBVS 6152</t>
  </si>
  <si>
    <t>IBVS 6092</t>
  </si>
  <si>
    <t>II</t>
  </si>
  <si>
    <t>IBVS 6157</t>
  </si>
  <si>
    <t>Add cycle</t>
  </si>
  <si>
    <t>Old Cycle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</si>
  <si>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</si>
  <si>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</si>
  <si>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</si>
  <si>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CCD</t>
  </si>
  <si>
    <t>pg</t>
  </si>
  <si>
    <t>PE</t>
  </si>
  <si>
    <t>Linear Ephemeris =</t>
  </si>
  <si>
    <t>Quad. Ephemeris =</t>
  </si>
  <si>
    <t>vis</t>
  </si>
  <si>
    <t>IBVS 6234</t>
  </si>
  <si>
    <t>VSB-64</t>
  </si>
  <si>
    <t>V</t>
  </si>
  <si>
    <t>RHN 2021</t>
  </si>
  <si>
    <t>2020JAVSO..48….1</t>
  </si>
  <si>
    <t>JBAV, 60</t>
  </si>
  <si>
    <t>JBAV, 55</t>
  </si>
  <si>
    <t>JAAVSO, 50, 255</t>
  </si>
  <si>
    <t>JBAV, 79</t>
  </si>
  <si>
    <t>OEJV 226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</si>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</sst>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00"/>
    <numFmt numFmtId="166" formatCode="0.000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6" fillId="0" borderId="0"/>
    <xf numFmtId="0" fontId="6" fillId="0" borderId="0"/>
    <xf numFmtId="0" fontId="16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2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10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 applyAlignment="1">
      <alignment horizontal="righ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5" fontId="36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/>
    </xf>
    <xf numFmtId="165" fontId="36" fillId="0" borderId="0" xfId="0" applyNumberFormat="1" applyFont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165" fontId="5" fillId="0" borderId="0" xfId="42" applyNumberFormat="1" applyFont="1" applyAlignment="1">
      <alignment horizontal="left" vertical="center" wrapText="1"/>
    </xf>
    <xf numFmtId="0" fontId="5" fillId="0" borderId="0" xfId="42" applyFont="1" applyAlignment="1">
      <alignment horizontal="left" vertical="center" wrapText="1"/>
    </xf>
    <xf numFmtId="0" fontId="33" fillId="0" borderId="0" xfId="41" applyFont="1" applyAlignment="1">
      <alignment horizontal="left" vertical="center"/>
    </xf>
    <xf numFmtId="0" fontId="33" fillId="0" borderId="0" xfId="41" applyFont="1" applyAlignment="1">
      <alignment horizontal="center" vertical="center"/>
    </xf>
    <xf numFmtId="165" fontId="33" fillId="0" borderId="0" xfId="41" applyNumberFormat="1" applyFont="1" applyAlignment="1">
      <alignment horizontal="left" vertical="center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 wrapText="1"/>
    </xf>
    <xf numFmtId="165" fontId="5" fillId="0" borderId="0" xfId="41" applyNumberFormat="1" applyFont="1" applyAlignment="1">
      <alignment horizontal="left" vertical="center" wrapText="1"/>
    </xf>
    <xf numFmtId="0" fontId="5" fillId="0" borderId="0" xfId="4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3" fontId="36" fillId="0" borderId="0" xfId="48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166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 (2)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V2552 Cyg - O-C Diagr.</a:t>
            </a:r>
          </a:p>
        </c:rich>
      </c:tx>
      <c:layout>
        <c:manualLayout>
          <c:xMode val="edge"/>
          <c:yMode val="edge"/>
          <c:x val="0.36555891238670696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939577039275"/>
          <c:y val="0.13953488372093023"/>
          <c:w val="0.81117824773413894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6D-423F-AD25-132BD53A7E2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15">
                  <c:v>1.6915051601245068E-3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6D-423F-AD25-132BD53A7E2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3">
                  <c:v>2.2436387589550577E-3</c:v>
                </c:pt>
                <c:pt idx="4">
                  <c:v>-4.1190291085513309E-4</c:v>
                </c:pt>
                <c:pt idx="5">
                  <c:v>-1.6744458116590977E-4</c:v>
                </c:pt>
                <c:pt idx="6">
                  <c:v>-1.2762780170305632E-3</c:v>
                </c:pt>
                <c:pt idx="7">
                  <c:v>1.2070123266312294E-3</c:v>
                </c:pt>
                <c:pt idx="10">
                  <c:v>2.5975918979384005E-3</c:v>
                </c:pt>
                <c:pt idx="11">
                  <c:v>5.3420502299559303E-3</c:v>
                </c:pt>
                <c:pt idx="12">
                  <c:v>4.5091324864188209E-3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6D-423F-AD25-132BD53A7E2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-2.6900619559455663E-5</c:v>
                </c:pt>
                <c:pt idx="2">
                  <c:v>3.9847793232183903E-5</c:v>
                </c:pt>
                <c:pt idx="8">
                  <c:v>-1.2947166396770626E-5</c:v>
                </c:pt>
                <c:pt idx="9">
                  <c:v>-1.2947166396770626E-5</c:v>
                </c:pt>
                <c:pt idx="13">
                  <c:v>4.3588389889919199E-3</c:v>
                </c:pt>
                <c:pt idx="14">
                  <c:v>7.1709222756908275E-3</c:v>
                </c:pt>
                <c:pt idx="16">
                  <c:v>8.7592123891226947E-3</c:v>
                </c:pt>
                <c:pt idx="17">
                  <c:v>7.1036707231542096E-3</c:v>
                </c:pt>
                <c:pt idx="18">
                  <c:v>8.0127952896873467E-3</c:v>
                </c:pt>
                <c:pt idx="19">
                  <c:v>1.0218545015959535E-2</c:v>
                </c:pt>
                <c:pt idx="20">
                  <c:v>1.0040961671620607E-2</c:v>
                </c:pt>
                <c:pt idx="21">
                  <c:v>7.9302533195004798E-3</c:v>
                </c:pt>
                <c:pt idx="22">
                  <c:v>1.0212583278189413E-2</c:v>
                </c:pt>
                <c:pt idx="23">
                  <c:v>1.1079333278757986E-2</c:v>
                </c:pt>
                <c:pt idx="24">
                  <c:v>1.1323791608447209E-2</c:v>
                </c:pt>
                <c:pt idx="25">
                  <c:v>1.1493336598505266E-2</c:v>
                </c:pt>
                <c:pt idx="26">
                  <c:v>1.2734999938402325E-2</c:v>
                </c:pt>
                <c:pt idx="27">
                  <c:v>1.1198123531357851E-2</c:v>
                </c:pt>
                <c:pt idx="28">
                  <c:v>1.5442581861861981E-2</c:v>
                </c:pt>
                <c:pt idx="29">
                  <c:v>1.6055997337389272E-2</c:v>
                </c:pt>
                <c:pt idx="30">
                  <c:v>1.5971830478520133E-2</c:v>
                </c:pt>
                <c:pt idx="31">
                  <c:v>1.6762372055382002E-2</c:v>
                </c:pt>
                <c:pt idx="32">
                  <c:v>2.2420204753871076E-2</c:v>
                </c:pt>
                <c:pt idx="33">
                  <c:v>1.7203953946591355E-2</c:v>
                </c:pt>
                <c:pt idx="34">
                  <c:v>1.7139828843937721E-2</c:v>
                </c:pt>
                <c:pt idx="35">
                  <c:v>1.6984412155579776E-2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6D-423F-AD25-132BD53A7E2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26D-423F-AD25-132BD53A7E2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26D-423F-AD25-132BD53A7E2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26D-423F-AD25-132BD53A7E2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-3.1236276011346396E-2</c:v>
                </c:pt>
                <c:pt idx="1">
                  <c:v>-7.8739774400547607E-3</c:v>
                </c:pt>
                <c:pt idx="2">
                  <c:v>-5.8761920276817281E-3</c:v>
                </c:pt>
                <c:pt idx="3">
                  <c:v>-4.9852428392044776E-3</c:v>
                </c:pt>
                <c:pt idx="4">
                  <c:v>-4.9844125044528681E-3</c:v>
                </c:pt>
                <c:pt idx="5">
                  <c:v>-4.9835821697012585E-3</c:v>
                </c:pt>
                <c:pt idx="6">
                  <c:v>-4.8474072704372609E-3</c:v>
                </c:pt>
                <c:pt idx="7">
                  <c:v>-3.1892287714726112E-3</c:v>
                </c:pt>
                <c:pt idx="8">
                  <c:v>-1.72534860438464E-3</c:v>
                </c:pt>
                <c:pt idx="9">
                  <c:v>-1.72534860438464E-3</c:v>
                </c:pt>
                <c:pt idx="10">
                  <c:v>1.5619466772383191E-3</c:v>
                </c:pt>
                <c:pt idx="11">
                  <c:v>1.562777011989929E-3</c:v>
                </c:pt>
                <c:pt idx="12">
                  <c:v>2.9162226571138048E-3</c:v>
                </c:pt>
                <c:pt idx="13">
                  <c:v>5.2237229318372706E-3</c:v>
                </c:pt>
                <c:pt idx="14">
                  <c:v>5.2818463644499526E-3</c:v>
                </c:pt>
                <c:pt idx="15">
                  <c:v>5.8481346650477951E-3</c:v>
                </c:pt>
                <c:pt idx="16">
                  <c:v>7.2389453739941084E-3</c:v>
                </c:pt>
                <c:pt idx="17">
                  <c:v>7.2397757087457187E-3</c:v>
                </c:pt>
                <c:pt idx="18">
                  <c:v>7.785305640553318E-3</c:v>
                </c:pt>
                <c:pt idx="19">
                  <c:v>8.1290642277197494E-3</c:v>
                </c:pt>
                <c:pt idx="20">
                  <c:v>8.1406889142422861E-3</c:v>
                </c:pt>
                <c:pt idx="21">
                  <c:v>8.1647686220389683E-3</c:v>
                </c:pt>
                <c:pt idx="22">
                  <c:v>1.2422725228293713E-2</c:v>
                </c:pt>
                <c:pt idx="23">
                  <c:v>1.2427707236803372E-2</c:v>
                </c:pt>
                <c:pt idx="24">
                  <c:v>1.2428537571554982E-2</c:v>
                </c:pt>
                <c:pt idx="25">
                  <c:v>1.2433519580064639E-2</c:v>
                </c:pt>
                <c:pt idx="26">
                  <c:v>1.243434991481625E-2</c:v>
                </c:pt>
                <c:pt idx="27">
                  <c:v>1.4215417957019142E-2</c:v>
                </c:pt>
                <c:pt idx="28">
                  <c:v>1.4216248291770751E-2</c:v>
                </c:pt>
                <c:pt idx="29">
                  <c:v>1.5682619463113549E-2</c:v>
                </c:pt>
                <c:pt idx="30">
                  <c:v>1.5964933278660862E-2</c:v>
                </c:pt>
                <c:pt idx="31">
                  <c:v>1.606374311410242E-2</c:v>
                </c:pt>
                <c:pt idx="32">
                  <c:v>1.6864185814654209E-2</c:v>
                </c:pt>
                <c:pt idx="33">
                  <c:v>1.7885497559134191E-2</c:v>
                </c:pt>
                <c:pt idx="34">
                  <c:v>1.8037448818678772E-2</c:v>
                </c:pt>
                <c:pt idx="35">
                  <c:v>1.8045752166194869E-2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26D-423F-AD25-132BD53A7E2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  <c:pt idx="0">
                  <c:v>-2.5306548763182946E-2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26D-423F-AD25-132BD53A7E27}"/>
            </c:ext>
          </c:extLst>
        </c:ser>
        <c:ser>
          <c:idx val="9"/>
          <c:order val="9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Active!$V$2:$V$25</c:f>
              <c:numCache>
                <c:formatCode>General</c:formatCode>
                <c:ptCount val="24"/>
                <c:pt idx="0">
                  <c:v>-4000</c:v>
                </c:pt>
                <c:pt idx="1">
                  <c:v>-3500</c:v>
                </c:pt>
                <c:pt idx="2">
                  <c:v>-3000</c:v>
                </c:pt>
                <c:pt idx="3">
                  <c:v>-2500</c:v>
                </c:pt>
                <c:pt idx="4">
                  <c:v>-2000</c:v>
                </c:pt>
                <c:pt idx="5">
                  <c:v>-1500</c:v>
                </c:pt>
                <c:pt idx="6">
                  <c:v>-1000</c:v>
                </c:pt>
                <c:pt idx="7">
                  <c:v>-500</c:v>
                </c:pt>
                <c:pt idx="8">
                  <c:v>0</c:v>
                </c:pt>
                <c:pt idx="9">
                  <c:v>500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5500</c:v>
                </c:pt>
                <c:pt idx="20">
                  <c:v>6000</c:v>
                </c:pt>
                <c:pt idx="21">
                  <c:v>6500</c:v>
                </c:pt>
                <c:pt idx="22">
                  <c:v>7000</c:v>
                </c:pt>
                <c:pt idx="23">
                  <c:v>7500</c:v>
                </c:pt>
              </c:numCache>
            </c:numRef>
          </c:xVal>
          <c:yVal>
            <c:numRef>
              <c:f>Active!$W$2:$W$25</c:f>
              <c:numCache>
                <c:formatCode>General</c:formatCode>
                <c:ptCount val="24"/>
                <c:pt idx="0">
                  <c:v>-8.0576521124684592E-5</c:v>
                </c:pt>
                <c:pt idx="1">
                  <c:v>-1.1785839912376787E-4</c:v>
                </c:pt>
                <c:pt idx="2">
                  <c:v>-1.0259086712662686E-4</c:v>
                </c:pt>
                <c:pt idx="3">
                  <c:v>-3.4773925133262627E-5</c:v>
                </c:pt>
                <c:pt idx="4">
                  <c:v>8.5592426856325626E-5</c:v>
                </c:pt>
                <c:pt idx="5">
                  <c:v>2.5850818884213769E-4</c:v>
                </c:pt>
                <c:pt idx="6">
                  <c:v>4.8397336082417339E-4</c:v>
                </c:pt>
                <c:pt idx="7">
                  <c:v>7.6198794280243291E-4</c:v>
                </c:pt>
                <c:pt idx="8">
                  <c:v>1.0925519347769162E-3</c:v>
                </c:pt>
                <c:pt idx="9">
                  <c:v>1.4756653367476234E-3</c:v>
                </c:pt>
                <c:pt idx="10">
                  <c:v>1.9113281487145542E-3</c:v>
                </c:pt>
                <c:pt idx="11">
                  <c:v>2.3995403706777089E-3</c:v>
                </c:pt>
                <c:pt idx="12">
                  <c:v>2.9403020026370873E-3</c:v>
                </c:pt>
                <c:pt idx="13">
                  <c:v>3.5336130445926895E-3</c:v>
                </c:pt>
                <c:pt idx="14">
                  <c:v>4.1794734965445151E-3</c:v>
                </c:pt>
                <c:pt idx="15">
                  <c:v>4.877883358492565E-3</c:v>
                </c:pt>
                <c:pt idx="16">
                  <c:v>5.6288426304368392E-3</c:v>
                </c:pt>
                <c:pt idx="17">
                  <c:v>6.4323513123773352E-3</c:v>
                </c:pt>
                <c:pt idx="18">
                  <c:v>7.2884094043140571E-3</c:v>
                </c:pt>
                <c:pt idx="19">
                  <c:v>8.1970169062470025E-3</c:v>
                </c:pt>
                <c:pt idx="20">
                  <c:v>9.1581738181761713E-3</c:v>
                </c:pt>
                <c:pt idx="21">
                  <c:v>1.0171880140101563E-2</c:v>
                </c:pt>
                <c:pt idx="22">
                  <c:v>1.1238135872023179E-2</c:v>
                </c:pt>
                <c:pt idx="23">
                  <c:v>1.2356941013941018E-2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26D-423F-AD25-132BD53A7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7576"/>
        <c:axId val="1"/>
      </c:scatterChart>
      <c:valAx>
        <c:axId val="749437576"/>
        <c:scaling>
          <c:orientation val="minMax"/>
          <c:min val="-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19033232628398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338368580060423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7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6525679758308"/>
          <c:y val="0.92441860465116277"/>
          <c:w val="0.81722054380664655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V2552 Cyg - O-C Diagr.</a:t>
            </a:r>
          </a:p>
        </c:rich>
      </c:tx>
      <c:layout>
        <c:manualLayout>
          <c:xMode val="edge"/>
          <c:yMode val="edge"/>
          <c:x val="0.36651631215781283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829552032593"/>
          <c:y val="0.13913082860855019"/>
          <c:w val="0.80693934845657234"/>
          <c:h val="0.649277200173234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5C-480D-9D6F-858BE6F411A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15">
                  <c:v>1.6915051601245068E-3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5C-480D-9D6F-858BE6F411A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3">
                  <c:v>2.2436387589550577E-3</c:v>
                </c:pt>
                <c:pt idx="4">
                  <c:v>-4.1190291085513309E-4</c:v>
                </c:pt>
                <c:pt idx="5">
                  <c:v>-1.6744458116590977E-4</c:v>
                </c:pt>
                <c:pt idx="6">
                  <c:v>-1.2762780170305632E-3</c:v>
                </c:pt>
                <c:pt idx="7">
                  <c:v>1.2070123266312294E-3</c:v>
                </c:pt>
                <c:pt idx="10">
                  <c:v>2.5975918979384005E-3</c:v>
                </c:pt>
                <c:pt idx="11">
                  <c:v>5.3420502299559303E-3</c:v>
                </c:pt>
                <c:pt idx="12">
                  <c:v>4.5091324864188209E-3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5C-480D-9D6F-858BE6F411A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-2.6900619559455663E-5</c:v>
                </c:pt>
                <c:pt idx="2">
                  <c:v>3.9847793232183903E-5</c:v>
                </c:pt>
                <c:pt idx="8">
                  <c:v>-1.2947166396770626E-5</c:v>
                </c:pt>
                <c:pt idx="9">
                  <c:v>-1.2947166396770626E-5</c:v>
                </c:pt>
                <c:pt idx="13">
                  <c:v>4.3588389889919199E-3</c:v>
                </c:pt>
                <c:pt idx="14">
                  <c:v>7.1709222756908275E-3</c:v>
                </c:pt>
                <c:pt idx="16">
                  <c:v>8.7592123891226947E-3</c:v>
                </c:pt>
                <c:pt idx="17">
                  <c:v>7.1036707231542096E-3</c:v>
                </c:pt>
                <c:pt idx="18">
                  <c:v>8.0127952896873467E-3</c:v>
                </c:pt>
                <c:pt idx="19">
                  <c:v>1.0218545015959535E-2</c:v>
                </c:pt>
                <c:pt idx="20">
                  <c:v>1.0040961671620607E-2</c:v>
                </c:pt>
                <c:pt idx="21">
                  <c:v>7.9302533195004798E-3</c:v>
                </c:pt>
                <c:pt idx="22">
                  <c:v>1.0212583278189413E-2</c:v>
                </c:pt>
                <c:pt idx="23">
                  <c:v>1.1079333278757986E-2</c:v>
                </c:pt>
                <c:pt idx="24">
                  <c:v>1.1323791608447209E-2</c:v>
                </c:pt>
                <c:pt idx="25">
                  <c:v>1.1493336598505266E-2</c:v>
                </c:pt>
                <c:pt idx="26">
                  <c:v>1.2734999938402325E-2</c:v>
                </c:pt>
                <c:pt idx="27">
                  <c:v>1.1198123531357851E-2</c:v>
                </c:pt>
                <c:pt idx="28">
                  <c:v>1.5442581861861981E-2</c:v>
                </c:pt>
                <c:pt idx="29">
                  <c:v>1.6055997337389272E-2</c:v>
                </c:pt>
                <c:pt idx="30">
                  <c:v>1.5971830478520133E-2</c:v>
                </c:pt>
                <c:pt idx="31">
                  <c:v>1.6762372055382002E-2</c:v>
                </c:pt>
                <c:pt idx="32">
                  <c:v>2.2420204753871076E-2</c:v>
                </c:pt>
                <c:pt idx="33">
                  <c:v>1.7203953946591355E-2</c:v>
                </c:pt>
                <c:pt idx="34">
                  <c:v>1.7139828843937721E-2</c:v>
                </c:pt>
                <c:pt idx="35">
                  <c:v>1.6984412155579776E-2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5C-480D-9D6F-858BE6F411A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5C-480D-9D6F-858BE6F411A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5C-480D-9D6F-858BE6F411A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4.1999999999999997E-3</c:v>
                  </c:pt>
                  <c:pt idx="4">
                    <c:v>1.9E-3</c:v>
                  </c:pt>
                  <c:pt idx="5">
                    <c:v>7.9000000000000008E-3</c:v>
                  </c:pt>
                  <c:pt idx="6">
                    <c:v>1E-3</c:v>
                  </c:pt>
                  <c:pt idx="7">
                    <c:v>1.5E-3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2.3999999999999998E-3</c:v>
                  </c:pt>
                  <c:pt idx="11">
                    <c:v>5.9999999999999995E-4</c:v>
                  </c:pt>
                  <c:pt idx="12">
                    <c:v>1E-3</c:v>
                  </c:pt>
                  <c:pt idx="13">
                    <c:v>1.2999999999999999E-3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1.1000000000000001E-3</c:v>
                  </c:pt>
                  <c:pt idx="17">
                    <c:v>1.1999999999999999E-3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4.0000000000000002E-4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2.0999999999999999E-3</c:v>
                  </c:pt>
                  <c:pt idx="28">
                    <c:v>1.1000000000000001E-3</c:v>
                  </c:pt>
                  <c:pt idx="29">
                    <c:v>1E-3</c:v>
                  </c:pt>
                  <c:pt idx="30">
                    <c:v>4.0000000000000002E-4</c:v>
                  </c:pt>
                  <c:pt idx="31">
                    <c:v>2E-3</c:v>
                  </c:pt>
                  <c:pt idx="32">
                    <c:v>1E-3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95C-480D-9D6F-858BE6F411A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-3.1236276011346396E-2</c:v>
                </c:pt>
                <c:pt idx="1">
                  <c:v>-7.8739774400547607E-3</c:v>
                </c:pt>
                <c:pt idx="2">
                  <c:v>-5.8761920276817281E-3</c:v>
                </c:pt>
                <c:pt idx="3">
                  <c:v>-4.9852428392044776E-3</c:v>
                </c:pt>
                <c:pt idx="4">
                  <c:v>-4.9844125044528681E-3</c:v>
                </c:pt>
                <c:pt idx="5">
                  <c:v>-4.9835821697012585E-3</c:v>
                </c:pt>
                <c:pt idx="6">
                  <c:v>-4.8474072704372609E-3</c:v>
                </c:pt>
                <c:pt idx="7">
                  <c:v>-3.1892287714726112E-3</c:v>
                </c:pt>
                <c:pt idx="8">
                  <c:v>-1.72534860438464E-3</c:v>
                </c:pt>
                <c:pt idx="9">
                  <c:v>-1.72534860438464E-3</c:v>
                </c:pt>
                <c:pt idx="10">
                  <c:v>1.5619466772383191E-3</c:v>
                </c:pt>
                <c:pt idx="11">
                  <c:v>1.562777011989929E-3</c:v>
                </c:pt>
                <c:pt idx="12">
                  <c:v>2.9162226571138048E-3</c:v>
                </c:pt>
                <c:pt idx="13">
                  <c:v>5.2237229318372706E-3</c:v>
                </c:pt>
                <c:pt idx="14">
                  <c:v>5.2818463644499526E-3</c:v>
                </c:pt>
                <c:pt idx="15">
                  <c:v>5.8481346650477951E-3</c:v>
                </c:pt>
                <c:pt idx="16">
                  <c:v>7.2389453739941084E-3</c:v>
                </c:pt>
                <c:pt idx="17">
                  <c:v>7.2397757087457187E-3</c:v>
                </c:pt>
                <c:pt idx="18">
                  <c:v>7.785305640553318E-3</c:v>
                </c:pt>
                <c:pt idx="19">
                  <c:v>8.1290642277197494E-3</c:v>
                </c:pt>
                <c:pt idx="20">
                  <c:v>8.1406889142422861E-3</c:v>
                </c:pt>
                <c:pt idx="21">
                  <c:v>8.1647686220389683E-3</c:v>
                </c:pt>
                <c:pt idx="22">
                  <c:v>1.2422725228293713E-2</c:v>
                </c:pt>
                <c:pt idx="23">
                  <c:v>1.2427707236803372E-2</c:v>
                </c:pt>
                <c:pt idx="24">
                  <c:v>1.2428537571554982E-2</c:v>
                </c:pt>
                <c:pt idx="25">
                  <c:v>1.2433519580064639E-2</c:v>
                </c:pt>
                <c:pt idx="26">
                  <c:v>1.243434991481625E-2</c:v>
                </c:pt>
                <c:pt idx="27">
                  <c:v>1.4215417957019142E-2</c:v>
                </c:pt>
                <c:pt idx="28">
                  <c:v>1.4216248291770751E-2</c:v>
                </c:pt>
                <c:pt idx="29">
                  <c:v>1.5682619463113549E-2</c:v>
                </c:pt>
                <c:pt idx="30">
                  <c:v>1.5964933278660862E-2</c:v>
                </c:pt>
                <c:pt idx="31">
                  <c:v>1.606374311410242E-2</c:v>
                </c:pt>
                <c:pt idx="32">
                  <c:v>1.6864185814654209E-2</c:v>
                </c:pt>
                <c:pt idx="33">
                  <c:v>1.7885497559134191E-2</c:v>
                </c:pt>
                <c:pt idx="34">
                  <c:v>1.8037448818678772E-2</c:v>
                </c:pt>
                <c:pt idx="35">
                  <c:v>1.8045752166194869E-2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5C-480D-9D6F-858BE6F411A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-17770</c:v>
                </c:pt>
                <c:pt idx="1">
                  <c:v>-3702</c:v>
                </c:pt>
                <c:pt idx="2">
                  <c:v>-2499</c:v>
                </c:pt>
                <c:pt idx="3">
                  <c:v>-1962.5</c:v>
                </c:pt>
                <c:pt idx="4">
                  <c:v>-1962</c:v>
                </c:pt>
                <c:pt idx="5">
                  <c:v>-1961.5</c:v>
                </c:pt>
                <c:pt idx="6">
                  <c:v>-1879.5</c:v>
                </c:pt>
                <c:pt idx="7">
                  <c:v>-881</c:v>
                </c:pt>
                <c:pt idx="8">
                  <c:v>0.5</c:v>
                </c:pt>
                <c:pt idx="9">
                  <c:v>0.5</c:v>
                </c:pt>
                <c:pt idx="10">
                  <c:v>1980</c:v>
                </c:pt>
                <c:pt idx="11">
                  <c:v>1980.5</c:v>
                </c:pt>
                <c:pt idx="12">
                  <c:v>2795.5</c:v>
                </c:pt>
                <c:pt idx="13">
                  <c:v>4185</c:v>
                </c:pt>
                <c:pt idx="14">
                  <c:v>4220</c:v>
                </c:pt>
                <c:pt idx="15">
                  <c:v>4561</c:v>
                </c:pt>
                <c:pt idx="16">
                  <c:v>5398.5</c:v>
                </c:pt>
                <c:pt idx="17">
                  <c:v>5399</c:v>
                </c:pt>
                <c:pt idx="18">
                  <c:v>5727.5</c:v>
                </c:pt>
                <c:pt idx="19">
                  <c:v>5934.5</c:v>
                </c:pt>
                <c:pt idx="20">
                  <c:v>5941.5</c:v>
                </c:pt>
                <c:pt idx="21">
                  <c:v>5956</c:v>
                </c:pt>
                <c:pt idx="22">
                  <c:v>8520</c:v>
                </c:pt>
                <c:pt idx="23">
                  <c:v>8523</c:v>
                </c:pt>
                <c:pt idx="24">
                  <c:v>8523.5</c:v>
                </c:pt>
                <c:pt idx="25">
                  <c:v>8526.5</c:v>
                </c:pt>
                <c:pt idx="26">
                  <c:v>8527</c:v>
                </c:pt>
                <c:pt idx="27">
                  <c:v>9599.5</c:v>
                </c:pt>
                <c:pt idx="28">
                  <c:v>9600</c:v>
                </c:pt>
                <c:pt idx="29">
                  <c:v>10483</c:v>
                </c:pt>
                <c:pt idx="30">
                  <c:v>10653</c:v>
                </c:pt>
                <c:pt idx="31">
                  <c:v>10712.5</c:v>
                </c:pt>
                <c:pt idx="32">
                  <c:v>11194.5</c:v>
                </c:pt>
                <c:pt idx="33">
                  <c:v>11809.5</c:v>
                </c:pt>
                <c:pt idx="34">
                  <c:v>11901</c:v>
                </c:pt>
                <c:pt idx="35">
                  <c:v>11906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  <c:pt idx="0">
                  <c:v>-2.5306548763182946E-2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95C-480D-9D6F-858BE6F411AD}"/>
            </c:ext>
          </c:extLst>
        </c:ser>
        <c:ser>
          <c:idx val="9"/>
          <c:order val="9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Active!$V$2:$V$25</c:f>
              <c:numCache>
                <c:formatCode>General</c:formatCode>
                <c:ptCount val="24"/>
                <c:pt idx="0">
                  <c:v>-4000</c:v>
                </c:pt>
                <c:pt idx="1">
                  <c:v>-3500</c:v>
                </c:pt>
                <c:pt idx="2">
                  <c:v>-3000</c:v>
                </c:pt>
                <c:pt idx="3">
                  <c:v>-2500</c:v>
                </c:pt>
                <c:pt idx="4">
                  <c:v>-2000</c:v>
                </c:pt>
                <c:pt idx="5">
                  <c:v>-1500</c:v>
                </c:pt>
                <c:pt idx="6">
                  <c:v>-1000</c:v>
                </c:pt>
                <c:pt idx="7">
                  <c:v>-500</c:v>
                </c:pt>
                <c:pt idx="8">
                  <c:v>0</c:v>
                </c:pt>
                <c:pt idx="9">
                  <c:v>500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5500</c:v>
                </c:pt>
                <c:pt idx="20">
                  <c:v>6000</c:v>
                </c:pt>
                <c:pt idx="21">
                  <c:v>6500</c:v>
                </c:pt>
                <c:pt idx="22">
                  <c:v>7000</c:v>
                </c:pt>
                <c:pt idx="23">
                  <c:v>7500</c:v>
                </c:pt>
              </c:numCache>
            </c:numRef>
          </c:xVal>
          <c:yVal>
            <c:numRef>
              <c:f>Active!$W$2:$W$25</c:f>
              <c:numCache>
                <c:formatCode>General</c:formatCode>
                <c:ptCount val="24"/>
                <c:pt idx="0">
                  <c:v>-8.0576521124684592E-5</c:v>
                </c:pt>
                <c:pt idx="1">
                  <c:v>-1.1785839912376787E-4</c:v>
                </c:pt>
                <c:pt idx="2">
                  <c:v>-1.0259086712662686E-4</c:v>
                </c:pt>
                <c:pt idx="3">
                  <c:v>-3.4773925133262627E-5</c:v>
                </c:pt>
                <c:pt idx="4">
                  <c:v>8.5592426856325626E-5</c:v>
                </c:pt>
                <c:pt idx="5">
                  <c:v>2.5850818884213769E-4</c:v>
                </c:pt>
                <c:pt idx="6">
                  <c:v>4.8397336082417339E-4</c:v>
                </c:pt>
                <c:pt idx="7">
                  <c:v>7.6198794280243291E-4</c:v>
                </c:pt>
                <c:pt idx="8">
                  <c:v>1.0925519347769162E-3</c:v>
                </c:pt>
                <c:pt idx="9">
                  <c:v>1.4756653367476234E-3</c:v>
                </c:pt>
                <c:pt idx="10">
                  <c:v>1.9113281487145542E-3</c:v>
                </c:pt>
                <c:pt idx="11">
                  <c:v>2.3995403706777089E-3</c:v>
                </c:pt>
                <c:pt idx="12">
                  <c:v>2.9403020026370873E-3</c:v>
                </c:pt>
                <c:pt idx="13">
                  <c:v>3.5336130445926895E-3</c:v>
                </c:pt>
                <c:pt idx="14">
                  <c:v>4.1794734965445151E-3</c:v>
                </c:pt>
                <c:pt idx="15">
                  <c:v>4.877883358492565E-3</c:v>
                </c:pt>
                <c:pt idx="16">
                  <c:v>5.6288426304368392E-3</c:v>
                </c:pt>
                <c:pt idx="17">
                  <c:v>6.4323513123773352E-3</c:v>
                </c:pt>
                <c:pt idx="18">
                  <c:v>7.2884094043140571E-3</c:v>
                </c:pt>
                <c:pt idx="19">
                  <c:v>8.1970169062470025E-3</c:v>
                </c:pt>
                <c:pt idx="20">
                  <c:v>9.1581738181761713E-3</c:v>
                </c:pt>
                <c:pt idx="21">
                  <c:v>1.0171880140101563E-2</c:v>
                </c:pt>
                <c:pt idx="22">
                  <c:v>1.1238135872023179E-2</c:v>
                </c:pt>
                <c:pt idx="23">
                  <c:v>1.2356941013941018E-2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95C-480D-9D6F-858BE6F41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8232"/>
        <c:axId val="1"/>
      </c:scatterChart>
      <c:valAx>
        <c:axId val="749438232"/>
        <c:scaling>
          <c:orientation val="minMax"/>
          <c:min val="-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9596521023113"/>
              <c:y val="0.84348069534786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.4E-2"/>
          <c:min val="-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773755656108594E-2"/>
              <c:y val="0.37681281144204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8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40453993024626"/>
          <c:y val="0.92464041994750656"/>
          <c:w val="0.81598920044496692"/>
          <c:h val="5.79713188025410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3581-1856 - O-C Diagr.</a:t>
            </a:r>
          </a:p>
        </c:rich>
      </c:tx>
      <c:layout>
        <c:manualLayout>
          <c:xMode val="edge"/>
          <c:yMode val="edge"/>
          <c:x val="0.3413533834586466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1954887218045114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plus>
            <c:minus>
              <c:numRef>
                <c:f>A!$D$21:$D$239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14068</c:v>
                </c:pt>
                <c:pt idx="2">
                  <c:v>15271</c:v>
                </c:pt>
                <c:pt idx="3">
                  <c:v>17770.5</c:v>
                </c:pt>
              </c:numCache>
            </c:numRef>
          </c:xVal>
          <c:yVal>
            <c:numRef>
              <c:f>A!$H$21:$H$999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08-4D1C-9A5E-E737FC80B80C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14068</c:v>
                </c:pt>
                <c:pt idx="2">
                  <c:v>15271</c:v>
                </c:pt>
                <c:pt idx="3">
                  <c:v>17770.5</c:v>
                </c:pt>
              </c:numCache>
            </c:numRef>
          </c:xVal>
          <c:yVal>
            <c:numRef>
              <c:f>A!$I$21:$I$999</c:f>
              <c:numCache>
                <c:formatCode>General</c:formatCode>
                <c:ptCount val="979"/>
                <c:pt idx="1">
                  <c:v>-1.1531600001035258E-2</c:v>
                </c:pt>
                <c:pt idx="2">
                  <c:v>-1.4612699997087475E-2</c:v>
                </c:pt>
                <c:pt idx="3">
                  <c:v>-2.1205850003752857E-2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08-4D1C-9A5E-E737FC80B80C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14068</c:v>
                </c:pt>
                <c:pt idx="2">
                  <c:v>15271</c:v>
                </c:pt>
                <c:pt idx="3">
                  <c:v>17770.5</c:v>
                </c:pt>
              </c:numCache>
            </c:numRef>
          </c:xVal>
          <c:yVal>
            <c:numRef>
              <c:f>A!$J$21:$J$999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08-4D1C-9A5E-E737FC80B80C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14068</c:v>
                </c:pt>
                <c:pt idx="2">
                  <c:v>15271</c:v>
                </c:pt>
                <c:pt idx="3">
                  <c:v>17770.5</c:v>
                </c:pt>
              </c:numCache>
            </c:numRef>
          </c:xVal>
          <c:yVal>
            <c:numRef>
              <c:f>A!$K$21:$K$999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08-4D1C-9A5E-E737FC80B80C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14068</c:v>
                </c:pt>
                <c:pt idx="2">
                  <c:v>15271</c:v>
                </c:pt>
                <c:pt idx="3">
                  <c:v>17770.5</c:v>
                </c:pt>
              </c:numCache>
            </c:numRef>
          </c:xVal>
          <c:yVal>
            <c:numRef>
              <c:f>A!$L$21:$L$999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08-4D1C-9A5E-E737FC80B80C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14068</c:v>
                </c:pt>
                <c:pt idx="2">
                  <c:v>15271</c:v>
                </c:pt>
                <c:pt idx="3">
                  <c:v>17770.5</c:v>
                </c:pt>
              </c:numCache>
            </c:numRef>
          </c:xVal>
          <c:yVal>
            <c:numRef>
              <c:f>A!$M$21:$M$999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08-4D1C-9A5E-E737FC80B80C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14068</c:v>
                </c:pt>
                <c:pt idx="2">
                  <c:v>15271</c:v>
                </c:pt>
                <c:pt idx="3">
                  <c:v>17770.5</c:v>
                </c:pt>
              </c:numCache>
            </c:numRef>
          </c:xVal>
          <c:yVal>
            <c:numRef>
              <c:f>A!$N$21:$N$999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908-4D1C-9A5E-E737FC80B80C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14068</c:v>
                </c:pt>
                <c:pt idx="2">
                  <c:v>15271</c:v>
                </c:pt>
                <c:pt idx="3">
                  <c:v>17770.5</c:v>
                </c:pt>
              </c:numCache>
            </c:numRef>
          </c:xVal>
          <c:yVal>
            <c:numRef>
              <c:f>A!$O$21:$O$999</c:f>
              <c:numCache>
                <c:formatCode>General</c:formatCode>
                <c:ptCount val="979"/>
                <c:pt idx="0">
                  <c:v>2.5306548763977189E-2</c:v>
                </c:pt>
                <c:pt idx="1">
                  <c:v>-1.1504699376233999E-2</c:v>
                </c:pt>
                <c:pt idx="2">
                  <c:v>-1.4652547791977107E-2</c:v>
                </c:pt>
                <c:pt idx="3">
                  <c:v>-2.1192902833664474E-2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08-4D1C-9A5E-E737FC80B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3640"/>
        <c:axId val="1"/>
      </c:scatterChart>
      <c:valAx>
        <c:axId val="749433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3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09022556390977"/>
          <c:y val="0.92375366568914952"/>
          <c:w val="0.66616541353383463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19050</xdr:rowOff>
    </xdr:from>
    <xdr:to>
      <xdr:col>17</xdr:col>
      <xdr:colOff>638175</xdr:colOff>
      <xdr:row>19</xdr:row>
      <xdr:rowOff>19050</xdr:rowOff>
    </xdr:to>
    <xdr:graphicFrame macro="">
      <xdr:nvGraphicFramePr>
        <xdr:cNvPr id="50182" name="Chart 1">
          <a:extLst>
            <a:ext uri="{FF2B5EF4-FFF2-40B4-BE49-F238E27FC236}">
              <a16:creationId xmlns:a16="http://schemas.microsoft.com/office/drawing/2014/main" id="{624AD48D-8701-DF82-FD5C-1114BEC00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171450</xdr:colOff>
      <xdr:row>0</xdr:row>
      <xdr:rowOff>0</xdr:rowOff>
    </xdr:from>
    <xdr:to>
      <xdr:col>27</xdr:col>
      <xdr:colOff>590550</xdr:colOff>
      <xdr:row>18</xdr:row>
      <xdr:rowOff>47625</xdr:rowOff>
    </xdr:to>
    <xdr:graphicFrame macro="">
      <xdr:nvGraphicFramePr>
        <xdr:cNvPr id="50183" name="Chart 3">
          <a:extLst>
            <a:ext uri="{FF2B5EF4-FFF2-40B4-BE49-F238E27FC236}">
              <a16:creationId xmlns:a16="http://schemas.microsoft.com/office/drawing/2014/main" id="{8DE14CC0-04B2-0C2F-0C12-7AE8C8EBC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E974EAB-271F-CF1F-A259-42E082857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9"/>
  <sheetViews>
    <sheetView tabSelected="1" workbookViewId="0">
      <pane xSplit="14" ySplit="21" topLeftCell="O39" activePane="bottomRight" state="frozen"/>
      <selection pane="topRight" activeCell="O1" sqref="O1"/>
      <selection pane="bottomLeft" activeCell="A22" sqref="A22"/>
      <selection pane="bottomRight" activeCell="A45" sqref="A45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3.140625" customWidth="1"/>
    <col min="4" max="4" width="9.42578125" customWidth="1"/>
    <col min="5" max="5" width="10.7109375" customWidth="1"/>
    <col min="6" max="6" width="18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19" max="19" width="6.140625" style="3" customWidth="1"/>
  </cols>
  <sheetData>
    <row r="1" spans="1:23" ht="21" thickBot="1" x14ac:dyDescent="0.35">
      <c r="A1" s="1" t="s">
        <v>50</v>
      </c>
      <c r="V1" s="4" t="s">
        <v>13</v>
      </c>
      <c r="W1" s="6" t="s">
        <v>25</v>
      </c>
    </row>
    <row r="2" spans="1:23" s="36" customFormat="1" ht="12.95" customHeight="1" x14ac:dyDescent="0.2">
      <c r="A2" s="36" t="s">
        <v>27</v>
      </c>
      <c r="B2" s="36" t="s">
        <v>44</v>
      </c>
      <c r="C2" s="37"/>
      <c r="D2" s="37" t="s">
        <v>45</v>
      </c>
      <c r="S2" s="37"/>
      <c r="V2" s="38">
        <v>-4000</v>
      </c>
      <c r="W2" s="38">
        <f t="shared" ref="W2:W25" si="0">+D$11+D$12*V2+D$13*V2^2</f>
        <v>-8.0576521124684592E-5</v>
      </c>
    </row>
    <row r="3" spans="1:23" s="36" customFormat="1" ht="12.95" customHeight="1" thickBot="1" x14ac:dyDescent="0.25">
      <c r="S3" s="37"/>
      <c r="V3" s="38">
        <v>-3500</v>
      </c>
      <c r="W3" s="38">
        <f t="shared" si="0"/>
        <v>-1.1785839912376787E-4</v>
      </c>
    </row>
    <row r="4" spans="1:23" s="36" customFormat="1" ht="12.95" customHeight="1" thickTop="1" thickBot="1" x14ac:dyDescent="0.25">
      <c r="A4" s="39" t="s">
        <v>3</v>
      </c>
      <c r="C4" s="40" t="s">
        <v>42</v>
      </c>
      <c r="D4" s="41" t="s">
        <v>42</v>
      </c>
      <c r="S4" s="37"/>
      <c r="V4" s="38">
        <v>-3000</v>
      </c>
      <c r="W4" s="38">
        <f t="shared" si="0"/>
        <v>-1.0259086712662686E-4</v>
      </c>
    </row>
    <row r="5" spans="1:23" s="36" customFormat="1" ht="12.95" customHeight="1" thickTop="1" x14ac:dyDescent="0.2">
      <c r="A5" s="42" t="s">
        <v>34</v>
      </c>
      <c r="C5" s="43">
        <v>-9.5</v>
      </c>
      <c r="D5" s="36" t="s">
        <v>35</v>
      </c>
      <c r="S5" s="37"/>
      <c r="V5" s="38">
        <v>-2500</v>
      </c>
      <c r="W5" s="38">
        <f t="shared" si="0"/>
        <v>-3.4773925133262627E-5</v>
      </c>
    </row>
    <row r="6" spans="1:23" s="36" customFormat="1" ht="12.95" customHeight="1" x14ac:dyDescent="0.2">
      <c r="A6" s="39" t="s">
        <v>4</v>
      </c>
      <c r="S6" s="37"/>
      <c r="V6" s="38">
        <v>-2000</v>
      </c>
      <c r="W6" s="38">
        <f t="shared" si="0"/>
        <v>8.5592426856325626E-5</v>
      </c>
    </row>
    <row r="7" spans="1:23" s="36" customFormat="1" ht="12.95" customHeight="1" x14ac:dyDescent="0.2">
      <c r="A7" s="36" t="s">
        <v>5</v>
      </c>
      <c r="C7" s="36">
        <v>56397.849257405498</v>
      </c>
      <c r="D7" s="36" t="s">
        <v>43</v>
      </c>
      <c r="S7" s="37"/>
      <c r="V7" s="38">
        <v>-1500</v>
      </c>
      <c r="W7" s="38">
        <f t="shared" si="0"/>
        <v>2.5850818884213769E-4</v>
      </c>
    </row>
    <row r="8" spans="1:23" s="36" customFormat="1" ht="12.95" customHeight="1" x14ac:dyDescent="0.2">
      <c r="A8" s="36" t="s">
        <v>6</v>
      </c>
      <c r="C8" s="36">
        <v>0.27851108333465024</v>
      </c>
      <c r="S8" s="37"/>
      <c r="V8" s="38">
        <v>-1000</v>
      </c>
      <c r="W8" s="38">
        <f t="shared" si="0"/>
        <v>4.8397336082417339E-4</v>
      </c>
    </row>
    <row r="9" spans="1:23" s="36" customFormat="1" ht="12.95" customHeight="1" x14ac:dyDescent="0.2">
      <c r="A9" s="44" t="s">
        <v>40</v>
      </c>
      <c r="B9" s="45">
        <v>35</v>
      </c>
      <c r="C9" s="46" t="str">
        <f>"F"&amp;B9</f>
        <v>F35</v>
      </c>
      <c r="D9" s="47" t="str">
        <f>"G"&amp;B9</f>
        <v>G35</v>
      </c>
      <c r="S9" s="37"/>
      <c r="V9" s="38">
        <v>-500</v>
      </c>
      <c r="W9" s="38">
        <f t="shared" si="0"/>
        <v>7.6198794280243291E-4</v>
      </c>
    </row>
    <row r="10" spans="1:23" s="36" customFormat="1" ht="12.95" customHeight="1" thickBot="1" x14ac:dyDescent="0.25">
      <c r="C10" s="48" t="s">
        <v>23</v>
      </c>
      <c r="D10" s="48" t="s">
        <v>24</v>
      </c>
      <c r="S10" s="37"/>
      <c r="V10" s="38">
        <v>0</v>
      </c>
      <c r="W10" s="38">
        <f t="shared" si="0"/>
        <v>1.0925519347769162E-3</v>
      </c>
    </row>
    <row r="11" spans="1:23" s="36" customFormat="1" ht="12.95" customHeight="1" x14ac:dyDescent="0.2">
      <c r="A11" s="36" t="s">
        <v>18</v>
      </c>
      <c r="C11" s="47">
        <f ca="1">INTERCEPT(INDIRECT($D$9):G991,INDIRECT($C$9):F991)</f>
        <v>-1.7261789391362498E-3</v>
      </c>
      <c r="D11" s="37">
        <f>+E11*F11</f>
        <v>1.0925519347769162E-3</v>
      </c>
      <c r="E11" s="49">
        <v>1.0925519347769162E-3</v>
      </c>
      <c r="F11" s="36">
        <v>1</v>
      </c>
      <c r="S11" s="37"/>
      <c r="V11" s="38">
        <v>500</v>
      </c>
      <c r="W11" s="38">
        <f t="shared" si="0"/>
        <v>1.4756653367476234E-3</v>
      </c>
    </row>
    <row r="12" spans="1:23" s="36" customFormat="1" ht="12.95" customHeight="1" x14ac:dyDescent="0.2">
      <c r="A12" s="36" t="s">
        <v>19</v>
      </c>
      <c r="C12" s="47">
        <f ca="1">SLOPE(INDIRECT($D$9):G991,INDIRECT($C$9):F991)</f>
        <v>1.6606695032194792E-6</v>
      </c>
      <c r="D12" s="37">
        <f>+E12*F12</f>
        <v>7.136773939451904E-7</v>
      </c>
      <c r="E12" s="50">
        <v>7.1367739394519033E-3</v>
      </c>
      <c r="F12" s="51">
        <v>1E-4</v>
      </c>
      <c r="S12" s="37"/>
      <c r="V12" s="38">
        <v>1000</v>
      </c>
      <c r="W12" s="38">
        <f t="shared" si="0"/>
        <v>1.9113281487145542E-3</v>
      </c>
    </row>
    <row r="13" spans="1:23" s="36" customFormat="1" ht="12.95" customHeight="1" thickBot="1" x14ac:dyDescent="0.25">
      <c r="A13" s="36" t="s">
        <v>22</v>
      </c>
      <c r="C13" s="37" t="s">
        <v>16</v>
      </c>
      <c r="D13" s="37">
        <f>+E13*F13</f>
        <v>1.0509881999244755E-10</v>
      </c>
      <c r="E13" s="52">
        <v>1.0509881999244755E-2</v>
      </c>
      <c r="F13" s="51">
        <v>1E-8</v>
      </c>
      <c r="S13" s="37"/>
      <c r="V13" s="38">
        <v>1500</v>
      </c>
      <c r="W13" s="38">
        <f t="shared" si="0"/>
        <v>2.3995403706777089E-3</v>
      </c>
    </row>
    <row r="14" spans="1:23" s="36" customFormat="1" ht="12.95" customHeight="1" x14ac:dyDescent="0.2">
      <c r="E14" s="36">
        <f>SUM(T21:T949)</f>
        <v>3.7078527374233733E-4</v>
      </c>
      <c r="S14" s="37"/>
      <c r="V14" s="38">
        <v>2000</v>
      </c>
      <c r="W14" s="38">
        <f t="shared" si="0"/>
        <v>2.9403020026370873E-3</v>
      </c>
    </row>
    <row r="15" spans="1:23" s="36" customFormat="1" ht="12.95" customHeight="1" x14ac:dyDescent="0.2">
      <c r="A15" s="53" t="s">
        <v>20</v>
      </c>
      <c r="C15" s="54">
        <f ca="1">(C7+C11)+(C8+C12)*INT(MAX(F21:F3532))</f>
        <v>59713.820261340006</v>
      </c>
      <c r="D15" s="47">
        <f>+C7+INT(MAX(F21:F1587))*C8+D11+D12*INT(MAX(F21:F4022))+D13*INT(MAX(F21:F4049)^2)</f>
        <v>59713.826703238628</v>
      </c>
      <c r="E15" s="55" t="s">
        <v>60</v>
      </c>
      <c r="F15" s="43">
        <v>1</v>
      </c>
      <c r="S15" s="37"/>
      <c r="V15" s="38">
        <v>2500</v>
      </c>
      <c r="W15" s="38">
        <f t="shared" si="0"/>
        <v>3.5336130445926895E-3</v>
      </c>
    </row>
    <row r="16" spans="1:23" s="36" customFormat="1" ht="12.95" customHeight="1" x14ac:dyDescent="0.2">
      <c r="A16" s="39" t="s">
        <v>7</v>
      </c>
      <c r="C16" s="56">
        <f ca="1">+C8+C12</f>
        <v>0.27851274400415349</v>
      </c>
      <c r="D16" s="47">
        <f>+C8+D12+2*D13*MAX(F21:F895)</f>
        <v>0.27851429962514584</v>
      </c>
      <c r="E16" s="55" t="s">
        <v>36</v>
      </c>
      <c r="F16" s="57">
        <f ca="1">NOW()+15018.5+$C$5/24</f>
        <v>60313.663374421296</v>
      </c>
      <c r="S16" s="37"/>
      <c r="V16" s="38">
        <v>3000</v>
      </c>
      <c r="W16" s="38">
        <f t="shared" si="0"/>
        <v>4.1794734965445151E-3</v>
      </c>
    </row>
    <row r="17" spans="1:23" s="36" customFormat="1" ht="12.95" customHeight="1" thickBot="1" x14ac:dyDescent="0.25">
      <c r="A17" s="55" t="s">
        <v>33</v>
      </c>
      <c r="C17" s="36">
        <f>COUNT(C21:C2190)</f>
        <v>36</v>
      </c>
      <c r="E17" s="55" t="s">
        <v>61</v>
      </c>
      <c r="F17" s="57">
        <f ca="1">ROUND(2*(F16-$C$7)/$C$8,0)/2+F15</f>
        <v>14061</v>
      </c>
      <c r="S17" s="37"/>
      <c r="V17" s="38">
        <v>3500</v>
      </c>
      <c r="W17" s="38">
        <f t="shared" si="0"/>
        <v>4.877883358492565E-3</v>
      </c>
    </row>
    <row r="18" spans="1:23" s="36" customFormat="1" ht="12.95" customHeight="1" thickTop="1" thickBot="1" x14ac:dyDescent="0.25">
      <c r="A18" s="39" t="s">
        <v>68</v>
      </c>
      <c r="C18" s="58">
        <f ca="1">+C15</f>
        <v>59713.820261340006</v>
      </c>
      <c r="D18" s="59">
        <f ca="1">C16</f>
        <v>0.27851274400415349</v>
      </c>
      <c r="E18" s="55" t="s">
        <v>37</v>
      </c>
      <c r="F18" s="47">
        <f ca="1">ROUND(2*(F16-$C$15)/$C$16,0)/2+F15</f>
        <v>2154.5</v>
      </c>
      <c r="S18" s="37"/>
      <c r="V18" s="38">
        <v>4000</v>
      </c>
      <c r="W18" s="38">
        <f t="shared" si="0"/>
        <v>5.6288426304368392E-3</v>
      </c>
    </row>
    <row r="19" spans="1:23" s="36" customFormat="1" ht="12.95" customHeight="1" thickBot="1" x14ac:dyDescent="0.25">
      <c r="A19" s="39" t="s">
        <v>69</v>
      </c>
      <c r="C19" s="60">
        <f>+D15</f>
        <v>59713.826703238628</v>
      </c>
      <c r="D19" s="61">
        <f>+D16</f>
        <v>0.27851429962514584</v>
      </c>
      <c r="E19" s="55" t="s">
        <v>38</v>
      </c>
      <c r="F19" s="62">
        <f ca="1">+$C$15+$C$16*F18-15018.5-$C$5/24</f>
        <v>45295.77180163029</v>
      </c>
      <c r="S19" s="37"/>
      <c r="V19" s="38">
        <v>4500</v>
      </c>
      <c r="W19" s="38">
        <f t="shared" si="0"/>
        <v>6.4323513123773352E-3</v>
      </c>
    </row>
    <row r="20" spans="1:23" s="36" customFormat="1" ht="12.95" customHeight="1" thickBot="1" x14ac:dyDescent="0.25">
      <c r="A20" s="48" t="s">
        <v>9</v>
      </c>
      <c r="B20" s="48" t="s">
        <v>10</v>
      </c>
      <c r="C20" s="48" t="s">
        <v>11</v>
      </c>
      <c r="D20" s="48" t="s">
        <v>15</v>
      </c>
      <c r="E20" s="48" t="s">
        <v>12</v>
      </c>
      <c r="F20" s="48" t="s">
        <v>13</v>
      </c>
      <c r="G20" s="48" t="s">
        <v>14</v>
      </c>
      <c r="H20" s="63" t="s">
        <v>66</v>
      </c>
      <c r="I20" s="63" t="s">
        <v>70</v>
      </c>
      <c r="J20" s="63" t="s">
        <v>67</v>
      </c>
      <c r="K20" s="63" t="s">
        <v>65</v>
      </c>
      <c r="L20" s="63" t="s">
        <v>29</v>
      </c>
      <c r="M20" s="63" t="s">
        <v>30</v>
      </c>
      <c r="N20" s="63" t="s">
        <v>31</v>
      </c>
      <c r="O20" s="63" t="s">
        <v>26</v>
      </c>
      <c r="P20" s="64" t="s">
        <v>25</v>
      </c>
      <c r="Q20" s="48" t="s">
        <v>17</v>
      </c>
      <c r="R20" s="63" t="s">
        <v>62</v>
      </c>
      <c r="S20" s="65" t="s">
        <v>63</v>
      </c>
      <c r="T20" s="63" t="s">
        <v>64</v>
      </c>
      <c r="U20" s="66" t="s">
        <v>55</v>
      </c>
      <c r="V20" s="38">
        <v>5000</v>
      </c>
      <c r="W20" s="38">
        <f t="shared" si="0"/>
        <v>7.2884094043140571E-3</v>
      </c>
    </row>
    <row r="21" spans="1:23" s="36" customFormat="1" ht="12.95" customHeight="1" x14ac:dyDescent="0.2">
      <c r="A21" s="36" t="s">
        <v>43</v>
      </c>
      <c r="C21" s="67">
        <v>51448.682000000001</v>
      </c>
      <c r="D21" s="68" t="s">
        <v>16</v>
      </c>
      <c r="E21" s="36">
        <f t="shared" ref="E21:E56" si="1">+(C21-C$7)/C$8</f>
        <v>-17770.090863704452</v>
      </c>
      <c r="F21" s="36">
        <f t="shared" ref="F21:F56" si="2">ROUND(2*E21,0)/2</f>
        <v>-17770</v>
      </c>
      <c r="O21" s="36">
        <f t="shared" ref="O21:O56" ca="1" si="3">+C$11+C$12*$F21</f>
        <v>-3.1236276011346396E-2</v>
      </c>
      <c r="P21" s="44">
        <f t="shared" ref="P21:P56" si="4">+D$11+D$12*F21+D$13*F21^2</f>
        <v>2.1597863819964029E-2</v>
      </c>
      <c r="Q21" s="69">
        <f t="shared" ref="Q21:Q56" si="5">+C21-15018.5</f>
        <v>36430.182000000001</v>
      </c>
      <c r="R21" s="38"/>
      <c r="S21" s="70"/>
      <c r="T21" s="38"/>
      <c r="U21" s="36">
        <f>+C21-(C$7+F21*C$8)</f>
        <v>-2.5306548763182946E-2</v>
      </c>
      <c r="V21" s="38">
        <v>5500</v>
      </c>
      <c r="W21" s="38">
        <f t="shared" si="0"/>
        <v>8.1970169062470025E-3</v>
      </c>
    </row>
    <row r="22" spans="1:23" s="36" customFormat="1" ht="12.95" customHeight="1" x14ac:dyDescent="0.2">
      <c r="A22" s="39" t="s">
        <v>47</v>
      </c>
      <c r="B22" s="70"/>
      <c r="C22" s="71">
        <v>55366.801200000002</v>
      </c>
      <c r="D22" s="72">
        <v>2.0000000000000001E-4</v>
      </c>
      <c r="E22" s="36">
        <f t="shared" si="1"/>
        <v>-3702.0000965872555</v>
      </c>
      <c r="F22" s="36">
        <f t="shared" si="2"/>
        <v>-3702</v>
      </c>
      <c r="G22" s="36">
        <f t="shared" ref="G22:G56" si="6">+C22-(C$7+F22*C$8)</f>
        <v>-2.6900619559455663E-5</v>
      </c>
      <c r="K22" s="36">
        <f>+G22</f>
        <v>-2.6900619559455663E-5</v>
      </c>
      <c r="O22" s="36">
        <f t="shared" ca="1" si="3"/>
        <v>-7.8739774400547607E-3</v>
      </c>
      <c r="P22" s="44">
        <f t="shared" si="4"/>
        <v>-1.0912304898040332E-4</v>
      </c>
      <c r="Q22" s="73">
        <f t="shared" si="5"/>
        <v>40348.301200000002</v>
      </c>
      <c r="R22" s="38">
        <f t="shared" ref="R22:R56" si="7">+(P22-G22)^2</f>
        <v>6.7605278998827184E-9</v>
      </c>
      <c r="S22" s="70">
        <v>1</v>
      </c>
      <c r="T22" s="38">
        <f t="shared" ref="T22:T56" si="8">+S22*R22</f>
        <v>6.7605278998827184E-9</v>
      </c>
      <c r="V22" s="38">
        <v>6000</v>
      </c>
      <c r="W22" s="38">
        <f t="shared" si="0"/>
        <v>9.1581738181761713E-3</v>
      </c>
    </row>
    <row r="23" spans="1:23" s="36" customFormat="1" ht="12.95" customHeight="1" x14ac:dyDescent="0.2">
      <c r="A23" s="39" t="s">
        <v>48</v>
      </c>
      <c r="B23" s="70"/>
      <c r="C23" s="71">
        <v>55701.850100000003</v>
      </c>
      <c r="D23" s="72">
        <v>2.0000000000000001E-4</v>
      </c>
      <c r="E23" s="36">
        <f t="shared" si="1"/>
        <v>-2498.9998569256359</v>
      </c>
      <c r="F23" s="36">
        <f t="shared" si="2"/>
        <v>-2499</v>
      </c>
      <c r="G23" s="36">
        <f t="shared" si="6"/>
        <v>3.9847793232183903E-5</v>
      </c>
      <c r="K23" s="36">
        <f>+G23</f>
        <v>3.9847793232183903E-5</v>
      </c>
      <c r="O23" s="36">
        <f t="shared" ca="1" si="3"/>
        <v>-5.8761920276817281E-3</v>
      </c>
      <c r="P23" s="44">
        <f t="shared" si="4"/>
        <v>-3.4585636740459575E-5</v>
      </c>
      <c r="Q23" s="73">
        <f t="shared" si="5"/>
        <v>40683.350100000003</v>
      </c>
      <c r="R23" s="38">
        <f t="shared" si="7"/>
        <v>5.5403354974924207E-9</v>
      </c>
      <c r="S23" s="70">
        <v>1</v>
      </c>
      <c r="T23" s="38">
        <f t="shared" si="8"/>
        <v>5.5403354974924207E-9</v>
      </c>
      <c r="V23" s="38">
        <v>6500</v>
      </c>
      <c r="W23" s="38">
        <f t="shared" si="0"/>
        <v>1.0171880140101563E-2</v>
      </c>
    </row>
    <row r="24" spans="1:23" s="36" customFormat="1" ht="12.95" customHeight="1" x14ac:dyDescent="0.2">
      <c r="A24" s="38" t="s">
        <v>51</v>
      </c>
      <c r="B24" s="70" t="s">
        <v>52</v>
      </c>
      <c r="C24" s="71">
        <v>55851.273500000003</v>
      </c>
      <c r="D24" s="72">
        <v>4.1999999999999997E-3</v>
      </c>
      <c r="E24" s="36">
        <f t="shared" si="1"/>
        <v>-1962.4919441670718</v>
      </c>
      <c r="F24" s="36">
        <f t="shared" si="2"/>
        <v>-1962.5</v>
      </c>
      <c r="G24" s="36">
        <f t="shared" si="6"/>
        <v>2.2436387589550577E-3</v>
      </c>
      <c r="J24" s="36">
        <f>+G24</f>
        <v>2.2436387589550577E-3</v>
      </c>
      <c r="O24" s="36">
        <f t="shared" ca="1" si="3"/>
        <v>-4.9852428392044776E-3</v>
      </c>
      <c r="P24" s="44">
        <f t="shared" si="4"/>
        <v>9.6738301346017443E-5</v>
      </c>
      <c r="Q24" s="73">
        <f t="shared" si="5"/>
        <v>40832.773500000003</v>
      </c>
      <c r="R24" s="38">
        <f t="shared" si="7"/>
        <v>4.6091815748819063E-6</v>
      </c>
      <c r="S24" s="70">
        <v>1</v>
      </c>
      <c r="T24" s="38">
        <f t="shared" si="8"/>
        <v>4.6091815748819063E-6</v>
      </c>
      <c r="V24" s="38">
        <v>7000</v>
      </c>
      <c r="W24" s="38">
        <f t="shared" si="0"/>
        <v>1.1238135872023179E-2</v>
      </c>
    </row>
    <row r="25" spans="1:23" s="36" customFormat="1" ht="12.95" customHeight="1" x14ac:dyDescent="0.2">
      <c r="A25" s="38" t="s">
        <v>51</v>
      </c>
      <c r="B25" s="70" t="s">
        <v>52</v>
      </c>
      <c r="C25" s="71">
        <v>55851.410100000001</v>
      </c>
      <c r="D25" s="72">
        <v>1.9E-3</v>
      </c>
      <c r="E25" s="36">
        <f t="shared" si="1"/>
        <v>-1962.0014789462177</v>
      </c>
      <c r="F25" s="36">
        <f t="shared" si="2"/>
        <v>-1962</v>
      </c>
      <c r="G25" s="36">
        <f t="shared" si="6"/>
        <v>-4.1190291085513309E-4</v>
      </c>
      <c r="J25" s="36">
        <f>+G25</f>
        <v>-4.1190291085513309E-4</v>
      </c>
      <c r="O25" s="36">
        <f t="shared" ca="1" si="3"/>
        <v>-4.9844125044528681E-3</v>
      </c>
      <c r="P25" s="44">
        <f t="shared" si="4"/>
        <v>9.6888909883460024E-5</v>
      </c>
      <c r="Q25" s="73">
        <f t="shared" si="5"/>
        <v>40832.910100000001</v>
      </c>
      <c r="R25" s="38">
        <f t="shared" si="7"/>
        <v>2.5886911685049272E-7</v>
      </c>
      <c r="S25" s="70">
        <v>1</v>
      </c>
      <c r="T25" s="38">
        <f t="shared" si="8"/>
        <v>2.5886911685049272E-7</v>
      </c>
      <c r="V25" s="38">
        <v>7500</v>
      </c>
      <c r="W25" s="38">
        <f t="shared" si="0"/>
        <v>1.2356941013941018E-2</v>
      </c>
    </row>
    <row r="26" spans="1:23" s="36" customFormat="1" ht="12.95" customHeight="1" x14ac:dyDescent="0.2">
      <c r="A26" s="38" t="s">
        <v>51</v>
      </c>
      <c r="B26" s="70" t="s">
        <v>52</v>
      </c>
      <c r="C26" s="71">
        <v>55851.549599999998</v>
      </c>
      <c r="D26" s="72">
        <v>7.9000000000000008E-3</v>
      </c>
      <c r="E26" s="36">
        <f t="shared" si="1"/>
        <v>-1961.5006012133563</v>
      </c>
      <c r="F26" s="36">
        <f t="shared" si="2"/>
        <v>-1961.5</v>
      </c>
      <c r="G26" s="36">
        <f t="shared" si="6"/>
        <v>-1.6744458116590977E-4</v>
      </c>
      <c r="J26" s="36">
        <f>+G26</f>
        <v>-1.6744458116590977E-4</v>
      </c>
      <c r="O26" s="36">
        <f t="shared" ca="1" si="3"/>
        <v>-4.9835821697012585E-3</v>
      </c>
      <c r="P26" s="44">
        <f t="shared" si="4"/>
        <v>9.7039570970312307E-5</v>
      </c>
      <c r="Q26" s="73">
        <f t="shared" si="5"/>
        <v>40833.049599999998</v>
      </c>
      <c r="R26" s="38">
        <f t="shared" si="7"/>
        <v>6.995186673121626E-8</v>
      </c>
      <c r="S26" s="70">
        <v>1</v>
      </c>
      <c r="T26" s="38">
        <f t="shared" si="8"/>
        <v>6.995186673121626E-8</v>
      </c>
    </row>
    <row r="27" spans="1:23" s="36" customFormat="1" ht="12.95" customHeight="1" x14ac:dyDescent="0.2">
      <c r="A27" s="38" t="s">
        <v>53</v>
      </c>
      <c r="B27" s="70" t="s">
        <v>52</v>
      </c>
      <c r="C27" s="71">
        <v>55874.386400000003</v>
      </c>
      <c r="D27" s="72">
        <v>1E-3</v>
      </c>
      <c r="E27" s="36">
        <f t="shared" si="1"/>
        <v>-1879.5045825035204</v>
      </c>
      <c r="F27" s="36">
        <f t="shared" si="2"/>
        <v>-1879.5</v>
      </c>
      <c r="G27" s="36">
        <f t="shared" si="6"/>
        <v>-1.2762780170305632E-3</v>
      </c>
      <c r="J27" s="36">
        <f>+G27</f>
        <v>-1.2762780170305632E-3</v>
      </c>
      <c r="O27" s="36">
        <f t="shared" ca="1" si="3"/>
        <v>-4.8474072704372609E-3</v>
      </c>
      <c r="P27" s="44">
        <f t="shared" si="4"/>
        <v>1.2245898273135673E-4</v>
      </c>
      <c r="Q27" s="73">
        <f t="shared" si="5"/>
        <v>40855.886400000003</v>
      </c>
      <c r="R27" s="38">
        <f t="shared" si="7"/>
        <v>1.9564651945029775E-6</v>
      </c>
      <c r="S27" s="70">
        <v>1</v>
      </c>
      <c r="T27" s="38">
        <f t="shared" si="8"/>
        <v>1.9564651945029775E-6</v>
      </c>
    </row>
    <row r="28" spans="1:23" s="36" customFormat="1" ht="12.95" customHeight="1" x14ac:dyDescent="0.2">
      <c r="A28" s="72" t="s">
        <v>54</v>
      </c>
      <c r="B28" s="70" t="s">
        <v>52</v>
      </c>
      <c r="C28" s="71">
        <v>56152.482199999999</v>
      </c>
      <c r="D28" s="72">
        <v>1.5E-3</v>
      </c>
      <c r="E28" s="36">
        <f t="shared" si="1"/>
        <v>-880.99566619642962</v>
      </c>
      <c r="F28" s="36">
        <f t="shared" si="2"/>
        <v>-881</v>
      </c>
      <c r="G28" s="36">
        <f t="shared" si="6"/>
        <v>1.2070123266312294E-3</v>
      </c>
      <c r="J28" s="36">
        <f>+G28</f>
        <v>1.2070123266312294E-3</v>
      </c>
      <c r="O28" s="36">
        <f t="shared" ca="1" si="3"/>
        <v>-3.1892287714726112E-3</v>
      </c>
      <c r="P28" s="44">
        <f t="shared" si="4"/>
        <v>5.4537575593536158E-4</v>
      </c>
      <c r="Q28" s="73">
        <f t="shared" si="5"/>
        <v>41133.982199999999</v>
      </c>
      <c r="R28" s="38">
        <f t="shared" si="7"/>
        <v>4.3776295168218804E-7</v>
      </c>
      <c r="S28" s="70">
        <v>1</v>
      </c>
      <c r="T28" s="38">
        <f t="shared" si="8"/>
        <v>4.3776295168218804E-7</v>
      </c>
    </row>
    <row r="29" spans="1:23" s="36" customFormat="1" ht="12.95" customHeight="1" x14ac:dyDescent="0.2">
      <c r="A29" s="39" t="s">
        <v>57</v>
      </c>
      <c r="B29" s="70"/>
      <c r="C29" s="71">
        <v>56397.988499999999</v>
      </c>
      <c r="D29" s="72">
        <v>2.0000000000000001E-4</v>
      </c>
      <c r="E29" s="36">
        <f t="shared" si="1"/>
        <v>0.49995351292394175</v>
      </c>
      <c r="F29" s="36">
        <f t="shared" si="2"/>
        <v>0.5</v>
      </c>
      <c r="G29" s="36">
        <f t="shared" si="6"/>
        <v>-1.2947166396770626E-5</v>
      </c>
      <c r="K29" s="36">
        <f>+G29</f>
        <v>-1.2947166396770626E-5</v>
      </c>
      <c r="O29" s="36">
        <f t="shared" ca="1" si="3"/>
        <v>-1.72534860438464E-3</v>
      </c>
      <c r="P29" s="44">
        <f t="shared" si="4"/>
        <v>1.0929087997485938E-3</v>
      </c>
      <c r="Q29" s="73">
        <f t="shared" si="5"/>
        <v>41379.488499999999</v>
      </c>
      <c r="R29" s="38">
        <f t="shared" si="7"/>
        <v>1.2229174178592975E-6</v>
      </c>
      <c r="S29" s="70">
        <v>1</v>
      </c>
      <c r="T29" s="38">
        <f t="shared" si="8"/>
        <v>1.2229174178592975E-6</v>
      </c>
    </row>
    <row r="30" spans="1:23" s="36" customFormat="1" ht="12.95" customHeight="1" x14ac:dyDescent="0.2">
      <c r="A30" s="74" t="s">
        <v>57</v>
      </c>
      <c r="B30" s="75" t="s">
        <v>58</v>
      </c>
      <c r="C30" s="76">
        <v>56397.988499999999</v>
      </c>
      <c r="D30" s="74">
        <v>2.0000000000000001E-4</v>
      </c>
      <c r="E30" s="36">
        <f t="shared" si="1"/>
        <v>0.49995351292394175</v>
      </c>
      <c r="F30" s="36">
        <f t="shared" si="2"/>
        <v>0.5</v>
      </c>
      <c r="G30" s="36">
        <f t="shared" si="6"/>
        <v>-1.2947166396770626E-5</v>
      </c>
      <c r="K30" s="36">
        <f>+G30</f>
        <v>-1.2947166396770626E-5</v>
      </c>
      <c r="O30" s="36">
        <f t="shared" ca="1" si="3"/>
        <v>-1.72534860438464E-3</v>
      </c>
      <c r="P30" s="44">
        <f t="shared" si="4"/>
        <v>1.0929087997485938E-3</v>
      </c>
      <c r="Q30" s="73">
        <f t="shared" si="5"/>
        <v>41379.488499999999</v>
      </c>
      <c r="R30" s="38">
        <f t="shared" si="7"/>
        <v>1.2229174178592975E-6</v>
      </c>
      <c r="S30" s="70">
        <v>1</v>
      </c>
      <c r="T30" s="38">
        <f t="shared" si="8"/>
        <v>1.2229174178592975E-6</v>
      </c>
    </row>
    <row r="31" spans="1:23" s="36" customFormat="1" ht="12.95" customHeight="1" x14ac:dyDescent="0.2">
      <c r="A31" s="77" t="s">
        <v>56</v>
      </c>
      <c r="B31" s="70"/>
      <c r="C31" s="78">
        <v>56949.303800000002</v>
      </c>
      <c r="D31" s="77">
        <v>2.3999999999999998E-3</v>
      </c>
      <c r="E31" s="36">
        <f t="shared" si="1"/>
        <v>1980.0093267092457</v>
      </c>
      <c r="F31" s="36">
        <f t="shared" si="2"/>
        <v>1980</v>
      </c>
      <c r="G31" s="36">
        <f t="shared" si="6"/>
        <v>2.5975918979384005E-3</v>
      </c>
      <c r="J31" s="36">
        <f>+G31</f>
        <v>2.5975918979384005E-3</v>
      </c>
      <c r="O31" s="36">
        <f t="shared" ca="1" si="3"/>
        <v>1.5619466772383191E-3</v>
      </c>
      <c r="P31" s="44">
        <f t="shared" si="4"/>
        <v>2.9176625886867843E-3</v>
      </c>
      <c r="Q31" s="73">
        <f t="shared" si="5"/>
        <v>41930.803800000002</v>
      </c>
      <c r="R31" s="38">
        <f t="shared" si="7"/>
        <v>1.0244524707614756E-7</v>
      </c>
      <c r="S31" s="70">
        <v>1</v>
      </c>
      <c r="T31" s="38">
        <f t="shared" si="8"/>
        <v>1.0244524707614756E-7</v>
      </c>
    </row>
    <row r="32" spans="1:23" s="36" customFormat="1" ht="12.95" customHeight="1" x14ac:dyDescent="0.2">
      <c r="A32" s="79" t="s">
        <v>56</v>
      </c>
      <c r="B32" s="80"/>
      <c r="C32" s="81">
        <v>56949.445800000001</v>
      </c>
      <c r="D32" s="79">
        <v>5.9999999999999995E-4</v>
      </c>
      <c r="E32" s="36">
        <f t="shared" si="1"/>
        <v>1980.5191807455722</v>
      </c>
      <c r="F32" s="36">
        <f t="shared" si="2"/>
        <v>1980.5</v>
      </c>
      <c r="G32" s="36">
        <f t="shared" si="6"/>
        <v>5.3420502299559303E-3</v>
      </c>
      <c r="J32" s="36">
        <f>+G32</f>
        <v>5.3420502299559303E-3</v>
      </c>
      <c r="O32" s="36">
        <f t="shared" ca="1" si="3"/>
        <v>1.562777011989929E-3</v>
      </c>
      <c r="P32" s="44">
        <f t="shared" si="4"/>
        <v>2.9182275493220477E-3</v>
      </c>
      <c r="Q32" s="73">
        <f t="shared" si="5"/>
        <v>41930.945800000001</v>
      </c>
      <c r="R32" s="38">
        <f t="shared" si="7"/>
        <v>5.8749163871552202E-6</v>
      </c>
      <c r="S32" s="70">
        <v>1</v>
      </c>
      <c r="T32" s="38">
        <f t="shared" si="8"/>
        <v>5.8749163871552202E-6</v>
      </c>
    </row>
    <row r="33" spans="1:20" s="36" customFormat="1" ht="12.95" customHeight="1" x14ac:dyDescent="0.2">
      <c r="A33" s="29" t="s">
        <v>59</v>
      </c>
      <c r="B33" s="80"/>
      <c r="C33" s="33">
        <v>57176.431499999999</v>
      </c>
      <c r="D33" s="29">
        <v>1E-3</v>
      </c>
      <c r="E33" s="36">
        <f t="shared" si="1"/>
        <v>2795.5161901366077</v>
      </c>
      <c r="F33" s="36">
        <f t="shared" si="2"/>
        <v>2795.5</v>
      </c>
      <c r="G33" s="36">
        <f t="shared" si="6"/>
        <v>4.5091324864188209E-3</v>
      </c>
      <c r="J33" s="36">
        <f>+G33</f>
        <v>4.5091324864188209E-3</v>
      </c>
      <c r="O33" s="36">
        <f t="shared" ca="1" si="3"/>
        <v>2.9162226571138048E-3</v>
      </c>
      <c r="P33" s="44">
        <f t="shared" si="4"/>
        <v>3.9089654762787798E-3</v>
      </c>
      <c r="Q33" s="73">
        <f t="shared" si="5"/>
        <v>42157.931499999999</v>
      </c>
      <c r="R33" s="38">
        <f t="shared" si="7"/>
        <v>3.6020044006043624E-7</v>
      </c>
      <c r="S33" s="70">
        <v>1</v>
      </c>
      <c r="T33" s="38">
        <f t="shared" si="8"/>
        <v>3.6020044006043624E-7</v>
      </c>
    </row>
    <row r="34" spans="1:20" s="36" customFormat="1" ht="12.95" customHeight="1" x14ac:dyDescent="0.2">
      <c r="A34" s="82" t="s">
        <v>2</v>
      </c>
      <c r="B34" s="83" t="s">
        <v>52</v>
      </c>
      <c r="C34" s="84">
        <v>57563.422500000001</v>
      </c>
      <c r="D34" s="85">
        <v>1.2999999999999999E-3</v>
      </c>
      <c r="E34" s="36">
        <f t="shared" si="1"/>
        <v>4185.0156505046016</v>
      </c>
      <c r="F34" s="36">
        <f t="shared" si="2"/>
        <v>4185</v>
      </c>
      <c r="G34" s="36">
        <f t="shared" si="6"/>
        <v>4.3588389889919199E-3</v>
      </c>
      <c r="K34" s="36">
        <f>+G34</f>
        <v>4.3588389889919199E-3</v>
      </c>
      <c r="O34" s="36">
        <f t="shared" ca="1" si="3"/>
        <v>5.2237229318372706E-3</v>
      </c>
      <c r="P34" s="44">
        <f t="shared" si="4"/>
        <v>5.9200162090197626E-3</v>
      </c>
      <c r="Q34" s="73">
        <f t="shared" si="5"/>
        <v>42544.922500000001</v>
      </c>
      <c r="R34" s="38">
        <f t="shared" si="7"/>
        <v>2.437274312333863E-6</v>
      </c>
      <c r="S34" s="70">
        <v>1</v>
      </c>
      <c r="T34" s="38">
        <f t="shared" si="8"/>
        <v>2.437274312333863E-6</v>
      </c>
    </row>
    <row r="35" spans="1:20" s="36" customFormat="1" ht="12.95" customHeight="1" x14ac:dyDescent="0.2">
      <c r="A35" s="86" t="s">
        <v>0</v>
      </c>
      <c r="B35" s="87" t="s">
        <v>52</v>
      </c>
      <c r="C35" s="88">
        <v>57573.173199999997</v>
      </c>
      <c r="D35" s="86" t="s">
        <v>73</v>
      </c>
      <c r="E35" s="36">
        <f t="shared" si="1"/>
        <v>4220.0257473497622</v>
      </c>
      <c r="F35" s="36">
        <f t="shared" si="2"/>
        <v>4220</v>
      </c>
      <c r="G35" s="36">
        <f t="shared" si="6"/>
        <v>7.1709222756908275E-3</v>
      </c>
      <c r="K35" s="36">
        <f>+G35</f>
        <v>7.1709222756908275E-3</v>
      </c>
      <c r="O35" s="36">
        <f t="shared" ca="1" si="3"/>
        <v>5.2818463644499526E-3</v>
      </c>
      <c r="P35" s="44">
        <f t="shared" si="4"/>
        <v>5.975912363179123E-3</v>
      </c>
      <c r="Q35" s="73">
        <f t="shared" si="5"/>
        <v>42554.673199999997</v>
      </c>
      <c r="R35" s="38">
        <f t="shared" si="7"/>
        <v>1.4280486910012318E-6</v>
      </c>
      <c r="S35" s="70">
        <v>1</v>
      </c>
      <c r="T35" s="38">
        <f t="shared" si="8"/>
        <v>1.4280486910012318E-6</v>
      </c>
    </row>
    <row r="36" spans="1:20" s="36" customFormat="1" ht="12.95" customHeight="1" x14ac:dyDescent="0.2">
      <c r="A36" s="86" t="s">
        <v>0</v>
      </c>
      <c r="B36" s="87" t="s">
        <v>52</v>
      </c>
      <c r="C36" s="88">
        <v>57668.14</v>
      </c>
      <c r="D36" s="86" t="s">
        <v>73</v>
      </c>
      <c r="E36" s="36">
        <f t="shared" si="1"/>
        <v>4561.0060733854516</v>
      </c>
      <c r="F36" s="36">
        <f t="shared" si="2"/>
        <v>4561</v>
      </c>
      <c r="G36" s="36">
        <f t="shared" si="6"/>
        <v>1.6915051601245068E-3</v>
      </c>
      <c r="I36" s="36">
        <f>+G36</f>
        <v>1.6915051601245068E-3</v>
      </c>
      <c r="O36" s="36">
        <f t="shared" ca="1" si="3"/>
        <v>5.8481346650477951E-3</v>
      </c>
      <c r="P36" s="44">
        <f t="shared" si="4"/>
        <v>6.5339759582930378E-3</v>
      </c>
      <c r="Q36" s="73">
        <f t="shared" si="5"/>
        <v>42649.64</v>
      </c>
      <c r="R36" s="38">
        <f t="shared" si="7"/>
        <v>2.3449523431114968E-5</v>
      </c>
      <c r="S36" s="70">
        <v>1</v>
      </c>
      <c r="T36" s="38">
        <f t="shared" si="8"/>
        <v>2.3449523431114968E-5</v>
      </c>
    </row>
    <row r="37" spans="1:20" s="36" customFormat="1" ht="12.95" customHeight="1" x14ac:dyDescent="0.2">
      <c r="A37" s="89" t="s">
        <v>1</v>
      </c>
      <c r="B37" s="90" t="s">
        <v>52</v>
      </c>
      <c r="C37" s="91">
        <v>57901.400099999999</v>
      </c>
      <c r="D37" s="92">
        <v>1.1000000000000001E-3</v>
      </c>
      <c r="E37" s="36">
        <f t="shared" si="1"/>
        <v>5398.5314501393859</v>
      </c>
      <c r="F37" s="36">
        <f t="shared" si="2"/>
        <v>5398.5</v>
      </c>
      <c r="G37" s="36">
        <f t="shared" si="6"/>
        <v>8.7592123891226947E-3</v>
      </c>
      <c r="K37" s="36">
        <f t="shared" ref="K37:K56" si="9">+G37</f>
        <v>8.7592123891226947E-3</v>
      </c>
      <c r="O37" s="36">
        <f t="shared" ca="1" si="3"/>
        <v>7.2389453739941084E-3</v>
      </c>
      <c r="P37" s="44">
        <f t="shared" si="4"/>
        <v>8.0083185725582651E-3</v>
      </c>
      <c r="Q37" s="73">
        <f t="shared" si="5"/>
        <v>42882.900099999999</v>
      </c>
      <c r="R37" s="38">
        <f t="shared" si="7"/>
        <v>5.6384152375469531E-7</v>
      </c>
      <c r="S37" s="70">
        <v>1</v>
      </c>
      <c r="T37" s="38">
        <f t="shared" si="8"/>
        <v>5.6384152375469531E-7</v>
      </c>
    </row>
    <row r="38" spans="1:20" s="36" customFormat="1" ht="12.95" customHeight="1" x14ac:dyDescent="0.2">
      <c r="A38" s="89" t="s">
        <v>1</v>
      </c>
      <c r="B38" s="90" t="s">
        <v>52</v>
      </c>
      <c r="C38" s="91">
        <v>57901.537700000001</v>
      </c>
      <c r="D38" s="92">
        <v>1.1999999999999999E-3</v>
      </c>
      <c r="E38" s="36">
        <f t="shared" si="1"/>
        <v>5399.0255058816365</v>
      </c>
      <c r="F38" s="36">
        <f t="shared" si="2"/>
        <v>5399</v>
      </c>
      <c r="G38" s="36">
        <f t="shared" si="6"/>
        <v>7.1036707231542096E-3</v>
      </c>
      <c r="K38" s="36">
        <f t="shared" si="9"/>
        <v>7.1036707231542096E-3</v>
      </c>
      <c r="O38" s="36">
        <f t="shared" ca="1" si="3"/>
        <v>7.2397757087457187E-3</v>
      </c>
      <c r="P38" s="44">
        <f t="shared" si="4"/>
        <v>8.0092428135096726E-3</v>
      </c>
      <c r="Q38" s="73">
        <f t="shared" si="5"/>
        <v>42883.037700000001</v>
      </c>
      <c r="R38" s="38">
        <f t="shared" si="7"/>
        <v>8.2006081083076285E-7</v>
      </c>
      <c r="S38" s="70">
        <v>1</v>
      </c>
      <c r="T38" s="38">
        <f t="shared" si="8"/>
        <v>8.2006081083076285E-7</v>
      </c>
    </row>
    <row r="39" spans="1:20" s="36" customFormat="1" ht="12.95" customHeight="1" x14ac:dyDescent="0.2">
      <c r="A39" s="93" t="s">
        <v>72</v>
      </c>
      <c r="B39" s="80" t="s">
        <v>58</v>
      </c>
      <c r="C39" s="33">
        <v>57993.029499999997</v>
      </c>
      <c r="D39" s="29" t="s">
        <v>73</v>
      </c>
      <c r="E39" s="36">
        <f t="shared" si="1"/>
        <v>5727.5287701128218</v>
      </c>
      <c r="F39" s="36">
        <f t="shared" si="2"/>
        <v>5727.5</v>
      </c>
      <c r="G39" s="36">
        <f t="shared" si="6"/>
        <v>8.0127952896873467E-3</v>
      </c>
      <c r="K39" s="36">
        <f t="shared" si="9"/>
        <v>8.0127952896873467E-3</v>
      </c>
      <c r="O39" s="36">
        <f t="shared" ca="1" si="3"/>
        <v>7.785305640553318E-3</v>
      </c>
      <c r="P39" s="44">
        <f t="shared" si="4"/>
        <v>8.6278278312028663E-3</v>
      </c>
      <c r="Q39" s="73">
        <f t="shared" si="5"/>
        <v>42974.529499999997</v>
      </c>
      <c r="R39" s="38">
        <f t="shared" si="7"/>
        <v>3.782650271230394E-7</v>
      </c>
      <c r="S39" s="70">
        <v>1</v>
      </c>
      <c r="T39" s="38">
        <f t="shared" si="8"/>
        <v>3.782650271230394E-7</v>
      </c>
    </row>
    <row r="40" spans="1:20" s="36" customFormat="1" ht="12.95" customHeight="1" x14ac:dyDescent="0.2">
      <c r="A40" s="94" t="s">
        <v>71</v>
      </c>
      <c r="B40" s="80"/>
      <c r="C40" s="33">
        <v>58050.683499999999</v>
      </c>
      <c r="D40" s="29">
        <v>2.9999999999999997E-4</v>
      </c>
      <c r="E40" s="36">
        <f t="shared" si="1"/>
        <v>5934.5366899043902</v>
      </c>
      <c r="F40" s="36">
        <f t="shared" si="2"/>
        <v>5934.5</v>
      </c>
      <c r="G40" s="36">
        <f t="shared" si="6"/>
        <v>1.0218545015959535E-2</v>
      </c>
      <c r="K40" s="36">
        <f t="shared" si="9"/>
        <v>1.0218545015959535E-2</v>
      </c>
      <c r="O40" s="36">
        <f t="shared" ca="1" si="3"/>
        <v>8.1290642277197494E-3</v>
      </c>
      <c r="P40" s="44">
        <f t="shared" si="4"/>
        <v>9.0292711765711693E-3</v>
      </c>
      <c r="Q40" s="73">
        <f t="shared" si="5"/>
        <v>43032.183499999999</v>
      </c>
      <c r="R40" s="38">
        <f t="shared" si="7"/>
        <v>1.4143722650535437E-6</v>
      </c>
      <c r="S40" s="70">
        <v>1</v>
      </c>
      <c r="T40" s="38">
        <f t="shared" si="8"/>
        <v>1.4143722650535437E-6</v>
      </c>
    </row>
    <row r="41" spans="1:20" s="36" customFormat="1" ht="12.95" customHeight="1" x14ac:dyDescent="0.2">
      <c r="A41" s="94" t="s">
        <v>71</v>
      </c>
      <c r="B41" s="80"/>
      <c r="C41" s="33">
        <v>58052.632899999997</v>
      </c>
      <c r="D41" s="29">
        <v>2.9999999999999997E-4</v>
      </c>
      <c r="E41" s="36">
        <f t="shared" si="1"/>
        <v>5941.5360522875935</v>
      </c>
      <c r="F41" s="36">
        <f t="shared" si="2"/>
        <v>5941.5</v>
      </c>
      <c r="G41" s="36">
        <f t="shared" si="6"/>
        <v>1.0040961671620607E-2</v>
      </c>
      <c r="K41" s="36">
        <f t="shared" si="9"/>
        <v>1.0040961671620607E-2</v>
      </c>
      <c r="O41" s="36">
        <f t="shared" ca="1" si="3"/>
        <v>8.1406889142422861E-3</v>
      </c>
      <c r="P41" s="44">
        <f t="shared" si="4"/>
        <v>9.043003993432398E-3</v>
      </c>
      <c r="Q41" s="73">
        <f t="shared" si="5"/>
        <v>43034.132899999997</v>
      </c>
      <c r="R41" s="38">
        <f t="shared" si="7"/>
        <v>9.9591952745480171E-7</v>
      </c>
      <c r="S41" s="70">
        <v>1</v>
      </c>
      <c r="T41" s="38">
        <f t="shared" si="8"/>
        <v>9.9591952745480171E-7</v>
      </c>
    </row>
    <row r="42" spans="1:20" s="36" customFormat="1" ht="12.95" customHeight="1" x14ac:dyDescent="0.2">
      <c r="A42" s="53" t="s">
        <v>71</v>
      </c>
      <c r="B42" s="37"/>
      <c r="C42" s="67">
        <v>58056.669199999997</v>
      </c>
      <c r="D42" s="68">
        <v>2.0000000000000001E-4</v>
      </c>
      <c r="E42" s="36">
        <f t="shared" si="1"/>
        <v>5956.0284737441207</v>
      </c>
      <c r="F42" s="36">
        <f t="shared" si="2"/>
        <v>5956</v>
      </c>
      <c r="G42" s="36">
        <f t="shared" si="6"/>
        <v>7.9302533195004798E-3</v>
      </c>
      <c r="K42" s="36">
        <f t="shared" si="9"/>
        <v>7.9302533195004798E-3</v>
      </c>
      <c r="O42" s="36">
        <f t="shared" ca="1" si="3"/>
        <v>8.1647686220389683E-3</v>
      </c>
      <c r="P42" s="44">
        <f t="shared" si="4"/>
        <v>9.0714833072020745E-3</v>
      </c>
      <c r="Q42" s="73">
        <f t="shared" si="5"/>
        <v>43038.169199999997</v>
      </c>
      <c r="R42" s="38">
        <f t="shared" si="7"/>
        <v>1.302405884829382E-6</v>
      </c>
      <c r="S42" s="70">
        <v>1</v>
      </c>
      <c r="T42" s="38">
        <f t="shared" si="8"/>
        <v>1.302405884829382E-6</v>
      </c>
    </row>
    <row r="43" spans="1:20" s="36" customFormat="1" ht="12.95" customHeight="1" x14ac:dyDescent="0.2">
      <c r="A43" s="53" t="s">
        <v>75</v>
      </c>
      <c r="B43" s="37" t="s">
        <v>52</v>
      </c>
      <c r="C43" s="67">
        <v>58770.7739</v>
      </c>
      <c r="D43" s="68">
        <v>2.0000000000000001E-4</v>
      </c>
      <c r="E43" s="36">
        <f t="shared" si="1"/>
        <v>8520.0366684986457</v>
      </c>
      <c r="F43" s="36">
        <f t="shared" si="2"/>
        <v>8520</v>
      </c>
      <c r="G43" s="36">
        <f t="shared" si="6"/>
        <v>1.0212583278189413E-2</v>
      </c>
      <c r="K43" s="36">
        <f t="shared" si="9"/>
        <v>1.0212583278189413E-2</v>
      </c>
      <c r="O43" s="36">
        <f t="shared" ca="1" si="3"/>
        <v>1.2422725228293713E-2</v>
      </c>
      <c r="P43" s="44">
        <f t="shared" si="4"/>
        <v>1.4802248713969703E-2</v>
      </c>
      <c r="Q43" s="73">
        <f t="shared" si="5"/>
        <v>43752.2739</v>
      </c>
      <c r="R43" s="38">
        <f t="shared" si="7"/>
        <v>2.1065028812396278E-5</v>
      </c>
      <c r="S43" s="70">
        <v>1</v>
      </c>
      <c r="T43" s="38">
        <f t="shared" si="8"/>
        <v>2.1065028812396278E-5</v>
      </c>
    </row>
    <row r="44" spans="1:20" s="36" customFormat="1" ht="12.95" customHeight="1" x14ac:dyDescent="0.2">
      <c r="A44" s="53" t="s">
        <v>75</v>
      </c>
      <c r="B44" s="37" t="s">
        <v>52</v>
      </c>
      <c r="C44" s="67">
        <v>58771.6103</v>
      </c>
      <c r="D44" s="68">
        <v>2.0000000000000001E-4</v>
      </c>
      <c r="E44" s="36">
        <f t="shared" si="1"/>
        <v>8523.0397805830398</v>
      </c>
      <c r="F44" s="36">
        <f t="shared" si="2"/>
        <v>8523</v>
      </c>
      <c r="G44" s="36">
        <f t="shared" si="6"/>
        <v>1.1079333278757986E-2</v>
      </c>
      <c r="K44" s="36">
        <f t="shared" si="9"/>
        <v>1.1079333278757986E-2</v>
      </c>
      <c r="O44" s="36">
        <f t="shared" ca="1" si="3"/>
        <v>1.2427707236803372E-2</v>
      </c>
      <c r="P44" s="44">
        <f t="shared" si="4"/>
        <v>1.4809763343718932E-2</v>
      </c>
      <c r="Q44" s="73">
        <f t="shared" si="5"/>
        <v>43753.1103</v>
      </c>
      <c r="R44" s="38">
        <f t="shared" si="7"/>
        <v>1.3916108469564529E-5</v>
      </c>
      <c r="S44" s="70">
        <v>1</v>
      </c>
      <c r="T44" s="38">
        <f t="shared" si="8"/>
        <v>1.3916108469564529E-5</v>
      </c>
    </row>
    <row r="45" spans="1:20" s="36" customFormat="1" ht="12.95" customHeight="1" x14ac:dyDescent="0.2">
      <c r="A45" s="53" t="s">
        <v>75</v>
      </c>
      <c r="B45" s="37" t="s">
        <v>58</v>
      </c>
      <c r="C45" s="67">
        <v>58771.749799999998</v>
      </c>
      <c r="D45" s="68">
        <v>4.0000000000000002E-4</v>
      </c>
      <c r="E45" s="36">
        <f t="shared" si="1"/>
        <v>8523.540658315902</v>
      </c>
      <c r="F45" s="36">
        <f t="shared" si="2"/>
        <v>8523.5</v>
      </c>
      <c r="G45" s="36">
        <f t="shared" si="6"/>
        <v>1.1323791608447209E-2</v>
      </c>
      <c r="K45" s="36">
        <f t="shared" si="9"/>
        <v>1.1323791608447209E-2</v>
      </c>
      <c r="O45" s="36">
        <f t="shared" ca="1" si="3"/>
        <v>1.2428537571554982E-2</v>
      </c>
      <c r="P45" s="44">
        <f t="shared" si="4"/>
        <v>1.4811015965933406E-2</v>
      </c>
      <c r="Q45" s="73">
        <f t="shared" si="5"/>
        <v>43753.249799999998</v>
      </c>
      <c r="R45" s="38">
        <f t="shared" si="7"/>
        <v>1.2160733719445022E-5</v>
      </c>
      <c r="S45" s="70">
        <v>1</v>
      </c>
      <c r="T45" s="38">
        <f t="shared" si="8"/>
        <v>1.2160733719445022E-5</v>
      </c>
    </row>
    <row r="46" spans="1:20" s="36" customFormat="1" ht="12.95" customHeight="1" x14ac:dyDescent="0.2">
      <c r="A46" s="53" t="s">
        <v>75</v>
      </c>
      <c r="B46" s="37" t="s">
        <v>58</v>
      </c>
      <c r="C46" s="67">
        <v>58772.585502794995</v>
      </c>
      <c r="D46" s="68">
        <v>4.0000000000000002E-4</v>
      </c>
      <c r="E46" s="36">
        <f t="shared" si="1"/>
        <v>8526.5412670708247</v>
      </c>
      <c r="F46" s="36">
        <f t="shared" si="2"/>
        <v>8526.5</v>
      </c>
      <c r="G46" s="36">
        <f t="shared" si="6"/>
        <v>1.1493336598505266E-2</v>
      </c>
      <c r="K46" s="36">
        <f t="shared" si="9"/>
        <v>1.1493336598505266E-2</v>
      </c>
      <c r="O46" s="36">
        <f t="shared" ca="1" si="3"/>
        <v>1.2433519580064639E-2</v>
      </c>
      <c r="P46" s="44">
        <f t="shared" si="4"/>
        <v>1.4818532802757856E-2</v>
      </c>
      <c r="Q46" s="73">
        <f t="shared" si="5"/>
        <v>43754.085502794995</v>
      </c>
      <c r="R46" s="38">
        <f t="shared" si="7"/>
        <v>1.105692979677583E-5</v>
      </c>
      <c r="S46" s="70">
        <v>1</v>
      </c>
      <c r="T46" s="38">
        <f t="shared" si="8"/>
        <v>1.105692979677583E-5</v>
      </c>
    </row>
    <row r="47" spans="1:20" s="36" customFormat="1" ht="12.95" customHeight="1" x14ac:dyDescent="0.2">
      <c r="A47" s="53" t="s">
        <v>75</v>
      </c>
      <c r="B47" s="37" t="s">
        <v>52</v>
      </c>
      <c r="C47" s="67">
        <v>58772.726000000002</v>
      </c>
      <c r="D47" s="68">
        <v>6.9999999999999999E-4</v>
      </c>
      <c r="E47" s="36">
        <f t="shared" si="1"/>
        <v>8527.0457252895976</v>
      </c>
      <c r="F47" s="36">
        <f t="shared" si="2"/>
        <v>8527</v>
      </c>
      <c r="G47" s="36">
        <f t="shared" si="6"/>
        <v>1.2734999938402325E-2</v>
      </c>
      <c r="K47" s="36">
        <f t="shared" si="9"/>
        <v>1.2734999938402325E-2</v>
      </c>
      <c r="O47" s="36">
        <f t="shared" ca="1" si="3"/>
        <v>1.243434991481625E-2</v>
      </c>
      <c r="P47" s="44">
        <f t="shared" si="4"/>
        <v>1.4819785792818198E-2</v>
      </c>
      <c r="Q47" s="73">
        <f t="shared" si="5"/>
        <v>43754.226000000002</v>
      </c>
      <c r="R47" s="38">
        <f t="shared" si="7"/>
        <v>4.3463320587725239E-6</v>
      </c>
      <c r="S47" s="70">
        <v>1</v>
      </c>
      <c r="T47" s="38">
        <f t="shared" si="8"/>
        <v>4.3463320587725239E-6</v>
      </c>
    </row>
    <row r="48" spans="1:20" s="36" customFormat="1" ht="12.95" customHeight="1" x14ac:dyDescent="0.2">
      <c r="A48" s="30" t="s">
        <v>76</v>
      </c>
      <c r="B48" s="31" t="s">
        <v>52</v>
      </c>
      <c r="C48" s="32">
        <v>59071.427600000003</v>
      </c>
      <c r="D48" s="99">
        <v>2.0999999999999999E-3</v>
      </c>
      <c r="E48" s="36">
        <f t="shared" si="1"/>
        <v>9599.540207101978</v>
      </c>
      <c r="F48" s="36">
        <f t="shared" si="2"/>
        <v>9599.5</v>
      </c>
      <c r="G48" s="36">
        <f t="shared" si="6"/>
        <v>1.1198123531357851E-2</v>
      </c>
      <c r="K48" s="36">
        <f t="shared" si="9"/>
        <v>1.1198123531357851E-2</v>
      </c>
      <c r="O48" s="36">
        <f t="shared" ca="1" si="3"/>
        <v>1.4215417957019142E-2</v>
      </c>
      <c r="P48" s="44">
        <f t="shared" si="4"/>
        <v>1.7628396406060516E-2</v>
      </c>
      <c r="Q48" s="73">
        <f t="shared" si="5"/>
        <v>44052.927600000003</v>
      </c>
      <c r="R48" s="38">
        <f t="shared" si="7"/>
        <v>4.1348409243136881E-5</v>
      </c>
      <c r="S48" s="70">
        <v>1</v>
      </c>
      <c r="T48" s="38">
        <f t="shared" si="8"/>
        <v>4.1348409243136881E-5</v>
      </c>
    </row>
    <row r="49" spans="1:20" s="36" customFormat="1" ht="12.95" customHeight="1" x14ac:dyDescent="0.2">
      <c r="A49" s="30" t="s">
        <v>76</v>
      </c>
      <c r="B49" s="31" t="s">
        <v>52</v>
      </c>
      <c r="C49" s="32">
        <v>59071.571100000001</v>
      </c>
      <c r="D49" s="99">
        <v>1.1000000000000001E-3</v>
      </c>
      <c r="E49" s="36">
        <f t="shared" si="1"/>
        <v>9600.0554469203726</v>
      </c>
      <c r="F49" s="36">
        <f t="shared" si="2"/>
        <v>9600</v>
      </c>
      <c r="G49" s="36">
        <f t="shared" si="6"/>
        <v>1.5442581861861981E-2</v>
      </c>
      <c r="K49" s="36">
        <f t="shared" si="9"/>
        <v>1.5442581861861981E-2</v>
      </c>
      <c r="O49" s="36">
        <f t="shared" ca="1" si="3"/>
        <v>1.4216248291770751E-2</v>
      </c>
      <c r="P49" s="44">
        <f t="shared" si="4"/>
        <v>1.7629762167154714E-2</v>
      </c>
      <c r="Q49" s="73">
        <f t="shared" si="5"/>
        <v>44053.071100000001</v>
      </c>
      <c r="R49" s="38">
        <f t="shared" si="7"/>
        <v>4.7837576878604103E-6</v>
      </c>
      <c r="S49" s="70">
        <v>1</v>
      </c>
      <c r="T49" s="38">
        <f t="shared" si="8"/>
        <v>4.7837576878604103E-6</v>
      </c>
    </row>
    <row r="50" spans="1:20" s="36" customFormat="1" ht="12.95" customHeight="1" x14ac:dyDescent="0.2">
      <c r="A50" s="30" t="s">
        <v>77</v>
      </c>
      <c r="B50" s="31" t="s">
        <v>52</v>
      </c>
      <c r="C50" s="32">
        <v>59317.496999999974</v>
      </c>
      <c r="D50" s="99">
        <v>1E-3</v>
      </c>
      <c r="E50" s="36">
        <f t="shared" si="1"/>
        <v>10483.057649401759</v>
      </c>
      <c r="F50" s="36">
        <f t="shared" si="2"/>
        <v>10483</v>
      </c>
      <c r="G50" s="36">
        <f t="shared" si="6"/>
        <v>1.6055997337389272E-2</v>
      </c>
      <c r="K50" s="36">
        <f t="shared" si="9"/>
        <v>1.6055997337389272E-2</v>
      </c>
      <c r="O50" s="36">
        <f t="shared" ca="1" si="3"/>
        <v>1.5682619463113549E-2</v>
      </c>
      <c r="P50" s="44">
        <f t="shared" si="4"/>
        <v>2.0123687054493362E-2</v>
      </c>
      <c r="Q50" s="73">
        <f t="shared" si="5"/>
        <v>44298.996999999974</v>
      </c>
      <c r="R50" s="38">
        <f t="shared" si="7"/>
        <v>1.6546099634634358E-5</v>
      </c>
      <c r="S50" s="70">
        <v>1</v>
      </c>
      <c r="T50" s="38">
        <f t="shared" si="8"/>
        <v>1.6546099634634358E-5</v>
      </c>
    </row>
    <row r="51" spans="1:20" s="36" customFormat="1" ht="12.95" customHeight="1" x14ac:dyDescent="0.2">
      <c r="A51" s="53" t="s">
        <v>74</v>
      </c>
      <c r="B51" s="37"/>
      <c r="C51" s="33">
        <v>59364.843800000002</v>
      </c>
      <c r="D51" s="29">
        <v>4.0000000000000002E-4</v>
      </c>
      <c r="E51" s="36">
        <f t="shared" si="1"/>
        <v>10653.057347198841</v>
      </c>
      <c r="F51" s="36">
        <f t="shared" si="2"/>
        <v>10653</v>
      </c>
      <c r="G51" s="36">
        <f t="shared" si="6"/>
        <v>1.5971830478520133E-2</v>
      </c>
      <c r="K51" s="36">
        <f t="shared" si="9"/>
        <v>1.5971830478520133E-2</v>
      </c>
      <c r="O51" s="36">
        <f t="shared" ca="1" si="3"/>
        <v>1.5964933278660862E-2</v>
      </c>
      <c r="P51" s="44">
        <f t="shared" si="4"/>
        <v>2.0622644883555308E-2</v>
      </c>
      <c r="Q51" s="73">
        <f t="shared" si="5"/>
        <v>44346.343800000002</v>
      </c>
      <c r="R51" s="38">
        <f t="shared" si="7"/>
        <v>2.163007463008269E-5</v>
      </c>
      <c r="S51" s="70">
        <v>1</v>
      </c>
      <c r="T51" s="38">
        <f t="shared" si="8"/>
        <v>2.163007463008269E-5</v>
      </c>
    </row>
    <row r="52" spans="1:20" s="36" customFormat="1" ht="12.95" customHeight="1" x14ac:dyDescent="0.2">
      <c r="A52" s="30" t="s">
        <v>76</v>
      </c>
      <c r="B52" s="31" t="s">
        <v>52</v>
      </c>
      <c r="C52" s="32">
        <v>59381.415999999997</v>
      </c>
      <c r="D52" s="99">
        <v>2E-3</v>
      </c>
      <c r="E52" s="36">
        <f t="shared" si="1"/>
        <v>10712.560185655298</v>
      </c>
      <c r="F52" s="36">
        <f t="shared" si="2"/>
        <v>10712.5</v>
      </c>
      <c r="G52" s="36">
        <f t="shared" si="6"/>
        <v>1.6762372055382002E-2</v>
      </c>
      <c r="K52" s="36">
        <f t="shared" si="9"/>
        <v>1.6762372055382002E-2</v>
      </c>
      <c r="O52" s="36">
        <f t="shared" ca="1" si="3"/>
        <v>1.606374311410242E-2</v>
      </c>
      <c r="P52" s="44">
        <f t="shared" si="4"/>
        <v>2.0798715274388691E-2</v>
      </c>
      <c r="Q52" s="73">
        <f t="shared" si="5"/>
        <v>44362.915999999997</v>
      </c>
      <c r="R52" s="38">
        <f t="shared" si="7"/>
        <v>1.6292066581621282E-5</v>
      </c>
      <c r="S52" s="70">
        <v>1</v>
      </c>
      <c r="T52" s="38">
        <f t="shared" si="8"/>
        <v>1.6292066581621282E-5</v>
      </c>
    </row>
    <row r="53" spans="1:20" s="36" customFormat="1" ht="12.95" customHeight="1" x14ac:dyDescent="0.2">
      <c r="A53" s="35" t="s">
        <v>80</v>
      </c>
      <c r="B53" s="96" t="s">
        <v>52</v>
      </c>
      <c r="C53" s="97">
        <v>59515.663999999997</v>
      </c>
      <c r="D53" s="98">
        <v>1E-3</v>
      </c>
      <c r="E53" s="36">
        <f t="shared" si="1"/>
        <v>11194.580500224582</v>
      </c>
      <c r="F53" s="36">
        <f t="shared" si="2"/>
        <v>11194.5</v>
      </c>
      <c r="G53" s="36">
        <f t="shared" si="6"/>
        <v>2.2420204753871076E-2</v>
      </c>
      <c r="K53" s="36">
        <f t="shared" si="9"/>
        <v>2.2420204753871076E-2</v>
      </c>
      <c r="O53" s="36">
        <f t="shared" ca="1" si="3"/>
        <v>1.6864185814654209E-2</v>
      </c>
      <c r="P53" s="44">
        <f t="shared" si="4"/>
        <v>2.2252464505765207E-2</v>
      </c>
      <c r="Q53" s="73">
        <f t="shared" si="5"/>
        <v>44497.163999999997</v>
      </c>
      <c r="R53" s="38">
        <f t="shared" si="7"/>
        <v>2.8136790834618401E-8</v>
      </c>
      <c r="S53" s="70">
        <v>1</v>
      </c>
      <c r="T53" s="38">
        <f t="shared" si="8"/>
        <v>2.8136790834618401E-8</v>
      </c>
    </row>
    <row r="54" spans="1:20" s="36" customFormat="1" ht="12.95" customHeight="1" x14ac:dyDescent="0.2">
      <c r="A54" s="35" t="s">
        <v>81</v>
      </c>
      <c r="B54" s="96" t="s">
        <v>58</v>
      </c>
      <c r="C54" s="98">
        <v>59686.943099999997</v>
      </c>
      <c r="D54" s="98">
        <v>2.0000000000000001E-4</v>
      </c>
      <c r="E54" s="36">
        <f t="shared" si="1"/>
        <v>11809.56177116451</v>
      </c>
      <c r="F54" s="36">
        <f t="shared" si="2"/>
        <v>11809.5</v>
      </c>
      <c r="G54" s="36">
        <f t="shared" si="6"/>
        <v>1.7203953946591355E-2</v>
      </c>
      <c r="K54" s="36">
        <f t="shared" si="9"/>
        <v>1.7203953946591355E-2</v>
      </c>
      <c r="O54" s="36">
        <f t="shared" ca="1" si="3"/>
        <v>1.7885497559134191E-2</v>
      </c>
      <c r="P54" s="44">
        <f t="shared" si="4"/>
        <v>2.4178257454931851E-2</v>
      </c>
      <c r="Q54" s="73">
        <f t="shared" si="5"/>
        <v>44668.443099999997</v>
      </c>
      <c r="R54" s="38">
        <f t="shared" si="7"/>
        <v>4.864090942645055E-5</v>
      </c>
      <c r="S54" s="70">
        <v>1</v>
      </c>
      <c r="T54" s="38">
        <f t="shared" si="8"/>
        <v>4.864090942645055E-5</v>
      </c>
    </row>
    <row r="55" spans="1:20" s="36" customFormat="1" ht="12.95" customHeight="1" x14ac:dyDescent="0.2">
      <c r="A55" s="95" t="s">
        <v>79</v>
      </c>
      <c r="B55" s="95" t="s">
        <v>52</v>
      </c>
      <c r="C55" s="34">
        <v>59712.426800000016</v>
      </c>
      <c r="D55" s="99">
        <v>2.9999999999999997E-4</v>
      </c>
      <c r="E55" s="36">
        <f t="shared" si="1"/>
        <v>11901.061540921963</v>
      </c>
      <c r="F55" s="36">
        <f t="shared" si="2"/>
        <v>11901</v>
      </c>
      <c r="G55" s="36">
        <f t="shared" si="6"/>
        <v>1.7139828843937721E-2</v>
      </c>
      <c r="K55" s="36">
        <f t="shared" si="9"/>
        <v>1.7139828843937721E-2</v>
      </c>
      <c r="O55" s="36">
        <f t="shared" ca="1" si="3"/>
        <v>1.8037448818678772E-2</v>
      </c>
      <c r="P55" s="44">
        <f t="shared" si="4"/>
        <v>2.4471571956263767E-2</v>
      </c>
      <c r="Q55" s="73">
        <f t="shared" si="5"/>
        <v>44693.926800000016</v>
      </c>
      <c r="R55" s="38">
        <f t="shared" si="7"/>
        <v>5.3754457065140416E-5</v>
      </c>
      <c r="S55" s="70">
        <v>1</v>
      </c>
      <c r="T55" s="38">
        <f t="shared" si="8"/>
        <v>5.3754457065140416E-5</v>
      </c>
    </row>
    <row r="56" spans="1:20" s="36" customFormat="1" ht="12.95" customHeight="1" x14ac:dyDescent="0.2">
      <c r="A56" s="30" t="s">
        <v>78</v>
      </c>
      <c r="B56" s="31" t="s">
        <v>52</v>
      </c>
      <c r="C56" s="32">
        <v>59713.819199999998</v>
      </c>
      <c r="D56" s="99">
        <v>5.9999999999999995E-4</v>
      </c>
      <c r="E56" s="36">
        <f t="shared" si="1"/>
        <v>11906.060982895011</v>
      </c>
      <c r="F56" s="36">
        <f t="shared" si="2"/>
        <v>11906</v>
      </c>
      <c r="G56" s="36">
        <f t="shared" si="6"/>
        <v>1.6984412155579776E-2</v>
      </c>
      <c r="K56" s="36">
        <f t="shared" si="9"/>
        <v>1.6984412155579776E-2</v>
      </c>
      <c r="O56" s="36">
        <f t="shared" ca="1" si="3"/>
        <v>1.8045752166194869E-2</v>
      </c>
      <c r="P56" s="44">
        <f t="shared" si="4"/>
        <v>2.448765078127129E-2</v>
      </c>
      <c r="Q56" s="73">
        <f t="shared" si="5"/>
        <v>44695.319199999998</v>
      </c>
      <c r="R56" s="38">
        <f t="shared" si="7"/>
        <v>5.6298589874069094E-5</v>
      </c>
      <c r="S56" s="70">
        <v>1</v>
      </c>
      <c r="T56" s="38">
        <f t="shared" si="8"/>
        <v>5.6298589874069094E-5</v>
      </c>
    </row>
    <row r="57" spans="1:20" s="36" customFormat="1" ht="12.95" customHeight="1" x14ac:dyDescent="0.2">
      <c r="C57" s="67"/>
      <c r="D57" s="68"/>
      <c r="S57" s="37"/>
    </row>
    <row r="58" spans="1:20" s="36" customFormat="1" ht="12.95" customHeight="1" x14ac:dyDescent="0.2">
      <c r="C58" s="68"/>
      <c r="D58" s="68"/>
      <c r="S58" s="37"/>
    </row>
    <row r="59" spans="1:20" s="36" customFormat="1" ht="12.95" customHeight="1" x14ac:dyDescent="0.2">
      <c r="C59" s="68"/>
      <c r="D59" s="68"/>
      <c r="S59" s="37"/>
    </row>
    <row r="60" spans="1:20" s="36" customFormat="1" ht="12.95" customHeight="1" x14ac:dyDescent="0.2">
      <c r="C60" s="68"/>
      <c r="D60" s="68"/>
      <c r="S60" s="37"/>
    </row>
    <row r="61" spans="1:20" s="36" customFormat="1" ht="12.95" customHeight="1" x14ac:dyDescent="0.2">
      <c r="C61" s="68"/>
      <c r="D61" s="68"/>
      <c r="S61" s="37"/>
    </row>
    <row r="62" spans="1:20" s="36" customFormat="1" ht="12.95" customHeight="1" x14ac:dyDescent="0.2">
      <c r="C62" s="68"/>
      <c r="D62" s="68"/>
      <c r="S62" s="37"/>
    </row>
    <row r="63" spans="1:20" s="36" customFormat="1" ht="12.95" customHeight="1" x14ac:dyDescent="0.2">
      <c r="C63" s="68"/>
      <c r="D63" s="68"/>
      <c r="S63" s="37"/>
    </row>
    <row r="64" spans="1:20" s="36" customFormat="1" ht="12.95" customHeight="1" x14ac:dyDescent="0.2">
      <c r="C64" s="68"/>
      <c r="D64" s="68"/>
      <c r="S64" s="37"/>
    </row>
    <row r="65" spans="3:19" s="36" customFormat="1" ht="12.95" customHeight="1" x14ac:dyDescent="0.2">
      <c r="C65" s="68"/>
      <c r="D65" s="68"/>
      <c r="S65" s="37"/>
    </row>
    <row r="66" spans="3:19" s="36" customFormat="1" ht="12.95" customHeight="1" x14ac:dyDescent="0.2">
      <c r="C66" s="68"/>
      <c r="D66" s="68"/>
      <c r="S66" s="37"/>
    </row>
    <row r="67" spans="3:19" s="36" customFormat="1" ht="12.95" customHeight="1" x14ac:dyDescent="0.2">
      <c r="C67" s="68"/>
      <c r="D67" s="68"/>
      <c r="S67" s="37"/>
    </row>
    <row r="68" spans="3:19" s="36" customFormat="1" ht="12.95" customHeight="1" x14ac:dyDescent="0.2">
      <c r="C68" s="68"/>
      <c r="D68" s="68"/>
      <c r="S68" s="37"/>
    </row>
    <row r="69" spans="3:19" s="36" customFormat="1" ht="12.95" customHeight="1" x14ac:dyDescent="0.2">
      <c r="C69" s="68"/>
      <c r="D69" s="68"/>
      <c r="S69" s="37"/>
    </row>
    <row r="70" spans="3:19" s="36" customFormat="1" ht="12.95" customHeight="1" x14ac:dyDescent="0.2">
      <c r="C70" s="68"/>
      <c r="D70" s="68"/>
      <c r="S70" s="37"/>
    </row>
    <row r="71" spans="3:19" s="36" customFormat="1" ht="12.95" customHeight="1" x14ac:dyDescent="0.2">
      <c r="C71" s="68"/>
      <c r="D71" s="68"/>
      <c r="S71" s="37"/>
    </row>
    <row r="72" spans="3:19" s="36" customFormat="1" ht="12.95" customHeight="1" x14ac:dyDescent="0.2">
      <c r="C72" s="68"/>
      <c r="D72" s="68"/>
      <c r="S72" s="37"/>
    </row>
    <row r="73" spans="3:19" s="36" customFormat="1" ht="12.95" customHeight="1" x14ac:dyDescent="0.2">
      <c r="C73" s="68"/>
      <c r="D73" s="68"/>
      <c r="S73" s="37"/>
    </row>
    <row r="74" spans="3:19" s="36" customFormat="1" ht="12.95" customHeight="1" x14ac:dyDescent="0.2">
      <c r="C74" s="68"/>
      <c r="D74" s="68"/>
      <c r="S74" s="37"/>
    </row>
    <row r="75" spans="3:19" s="36" customFormat="1" ht="12.95" customHeight="1" x14ac:dyDescent="0.2">
      <c r="C75" s="68"/>
      <c r="D75" s="68"/>
      <c r="S75" s="37"/>
    </row>
    <row r="76" spans="3:19" s="36" customFormat="1" ht="12.95" customHeight="1" x14ac:dyDescent="0.2">
      <c r="C76" s="68"/>
      <c r="D76" s="68"/>
      <c r="S76" s="37"/>
    </row>
    <row r="77" spans="3:19" s="36" customFormat="1" ht="12.95" customHeight="1" x14ac:dyDescent="0.2">
      <c r="C77" s="68"/>
      <c r="D77" s="68"/>
      <c r="S77" s="37"/>
    </row>
    <row r="78" spans="3:19" s="36" customFormat="1" ht="12.95" customHeight="1" x14ac:dyDescent="0.2">
      <c r="C78" s="68"/>
      <c r="D78" s="68"/>
      <c r="S78" s="37"/>
    </row>
    <row r="79" spans="3:19" s="36" customFormat="1" ht="12.95" customHeight="1" x14ac:dyDescent="0.2">
      <c r="C79" s="68"/>
      <c r="D79" s="68"/>
      <c r="S79" s="37"/>
    </row>
    <row r="80" spans="3:19" s="36" customFormat="1" ht="12.95" customHeight="1" x14ac:dyDescent="0.2">
      <c r="C80" s="68"/>
      <c r="D80" s="68"/>
      <c r="S80" s="37"/>
    </row>
    <row r="81" spans="3:19" s="36" customFormat="1" ht="12.95" customHeight="1" x14ac:dyDescent="0.2">
      <c r="C81" s="68"/>
      <c r="D81" s="68"/>
      <c r="S81" s="37"/>
    </row>
    <row r="82" spans="3:19" s="36" customFormat="1" ht="12.95" customHeight="1" x14ac:dyDescent="0.2">
      <c r="C82" s="68"/>
      <c r="D82" s="68"/>
      <c r="S82" s="37"/>
    </row>
    <row r="83" spans="3:19" s="36" customFormat="1" ht="12.95" customHeight="1" x14ac:dyDescent="0.2">
      <c r="C83" s="68"/>
      <c r="D83" s="68"/>
      <c r="S83" s="37"/>
    </row>
    <row r="84" spans="3:19" s="36" customFormat="1" ht="12.95" customHeight="1" x14ac:dyDescent="0.2">
      <c r="C84" s="68"/>
      <c r="D84" s="68"/>
      <c r="S84" s="37"/>
    </row>
    <row r="85" spans="3:19" s="36" customFormat="1" ht="12.95" customHeight="1" x14ac:dyDescent="0.2">
      <c r="C85" s="68"/>
      <c r="D85" s="68"/>
      <c r="S85" s="37"/>
    </row>
    <row r="86" spans="3:19" s="36" customFormat="1" ht="12.95" customHeight="1" x14ac:dyDescent="0.2">
      <c r="C86" s="68"/>
      <c r="D86" s="68"/>
      <c r="S86" s="37"/>
    </row>
    <row r="87" spans="3:19" s="36" customFormat="1" ht="12.95" customHeight="1" x14ac:dyDescent="0.2">
      <c r="C87" s="68"/>
      <c r="D87" s="68"/>
      <c r="S87" s="37"/>
    </row>
    <row r="88" spans="3:19" s="36" customFormat="1" ht="12.95" customHeight="1" x14ac:dyDescent="0.2">
      <c r="C88" s="68"/>
      <c r="D88" s="68"/>
      <c r="S88" s="37"/>
    </row>
    <row r="89" spans="3:19" s="36" customFormat="1" ht="12.95" customHeight="1" x14ac:dyDescent="0.2">
      <c r="C89" s="68"/>
      <c r="D89" s="68"/>
      <c r="S89" s="37"/>
    </row>
    <row r="90" spans="3:19" s="36" customFormat="1" ht="12.95" customHeight="1" x14ac:dyDescent="0.2">
      <c r="C90" s="68"/>
      <c r="D90" s="68"/>
      <c r="S90" s="37"/>
    </row>
    <row r="91" spans="3:19" s="36" customFormat="1" ht="12.95" customHeight="1" x14ac:dyDescent="0.2">
      <c r="C91" s="68"/>
      <c r="D91" s="68"/>
      <c r="S91" s="37"/>
    </row>
    <row r="92" spans="3:19" s="36" customFormat="1" ht="12.95" customHeight="1" x14ac:dyDescent="0.2">
      <c r="C92" s="68"/>
      <c r="D92" s="68"/>
      <c r="S92" s="37"/>
    </row>
    <row r="93" spans="3:19" s="36" customFormat="1" ht="12.95" customHeight="1" x14ac:dyDescent="0.2">
      <c r="C93" s="68"/>
      <c r="D93" s="68"/>
      <c r="S93" s="37"/>
    </row>
    <row r="94" spans="3:19" s="36" customFormat="1" ht="12.95" customHeight="1" x14ac:dyDescent="0.2">
      <c r="C94" s="68"/>
      <c r="D94" s="68"/>
      <c r="S94" s="37"/>
    </row>
    <row r="95" spans="3:19" s="36" customFormat="1" ht="12.95" customHeight="1" x14ac:dyDescent="0.2">
      <c r="C95" s="68"/>
      <c r="D95" s="68"/>
      <c r="S95" s="37"/>
    </row>
    <row r="96" spans="3:19" s="36" customFormat="1" ht="12.95" customHeight="1" x14ac:dyDescent="0.2">
      <c r="C96" s="68"/>
      <c r="D96" s="68"/>
      <c r="S96" s="37"/>
    </row>
    <row r="97" spans="3:19" s="36" customFormat="1" ht="12.95" customHeight="1" x14ac:dyDescent="0.2">
      <c r="C97" s="68"/>
      <c r="D97" s="68"/>
      <c r="S97" s="37"/>
    </row>
    <row r="98" spans="3:19" s="36" customFormat="1" ht="12.95" customHeight="1" x14ac:dyDescent="0.2">
      <c r="C98" s="68"/>
      <c r="D98" s="68"/>
      <c r="S98" s="37"/>
    </row>
    <row r="99" spans="3:19" s="36" customFormat="1" ht="12.95" customHeight="1" x14ac:dyDescent="0.2">
      <c r="C99" s="68"/>
      <c r="D99" s="68"/>
      <c r="S99" s="37"/>
    </row>
    <row r="100" spans="3:19" s="36" customFormat="1" ht="12.95" customHeight="1" x14ac:dyDescent="0.2">
      <c r="C100" s="68"/>
      <c r="D100" s="68"/>
      <c r="S100" s="37"/>
    </row>
    <row r="101" spans="3:19" s="36" customFormat="1" ht="12.95" customHeight="1" x14ac:dyDescent="0.2">
      <c r="C101" s="68"/>
      <c r="D101" s="68"/>
      <c r="S101" s="37"/>
    </row>
    <row r="102" spans="3:19" s="36" customFormat="1" ht="12.95" customHeight="1" x14ac:dyDescent="0.2">
      <c r="C102" s="68"/>
      <c r="D102" s="68"/>
      <c r="S102" s="37"/>
    </row>
    <row r="103" spans="3:19" s="36" customFormat="1" ht="12.95" customHeight="1" x14ac:dyDescent="0.2">
      <c r="C103" s="68"/>
      <c r="D103" s="68"/>
      <c r="S103" s="37"/>
    </row>
    <row r="104" spans="3:19" s="36" customFormat="1" ht="12.95" customHeight="1" x14ac:dyDescent="0.2">
      <c r="C104" s="68"/>
      <c r="D104" s="68"/>
      <c r="S104" s="37"/>
    </row>
    <row r="105" spans="3:19" s="36" customFormat="1" ht="12.95" customHeight="1" x14ac:dyDescent="0.2">
      <c r="C105" s="68"/>
      <c r="D105" s="68"/>
      <c r="S105" s="37"/>
    </row>
    <row r="106" spans="3:19" s="36" customFormat="1" ht="12.95" customHeight="1" x14ac:dyDescent="0.2">
      <c r="C106" s="68"/>
      <c r="D106" s="68"/>
      <c r="S106" s="37"/>
    </row>
    <row r="107" spans="3:19" s="36" customFormat="1" ht="12.95" customHeight="1" x14ac:dyDescent="0.2">
      <c r="C107" s="68"/>
      <c r="D107" s="68"/>
      <c r="S107" s="37"/>
    </row>
    <row r="108" spans="3:19" s="36" customFormat="1" ht="12.95" customHeight="1" x14ac:dyDescent="0.2">
      <c r="C108" s="68"/>
      <c r="D108" s="68"/>
      <c r="S108" s="37"/>
    </row>
    <row r="109" spans="3:19" s="36" customFormat="1" ht="12.95" customHeight="1" x14ac:dyDescent="0.2">
      <c r="C109" s="68"/>
      <c r="D109" s="68"/>
      <c r="S109" s="37"/>
    </row>
    <row r="110" spans="3:19" s="36" customFormat="1" ht="12.95" customHeight="1" x14ac:dyDescent="0.2">
      <c r="C110" s="68"/>
      <c r="D110" s="68"/>
      <c r="S110" s="37"/>
    </row>
    <row r="111" spans="3:19" s="36" customFormat="1" ht="12.95" customHeight="1" x14ac:dyDescent="0.2">
      <c r="C111" s="68"/>
      <c r="D111" s="68"/>
      <c r="S111" s="37"/>
    </row>
    <row r="112" spans="3:19" s="36" customFormat="1" ht="12.95" customHeight="1" x14ac:dyDescent="0.2">
      <c r="C112" s="68"/>
      <c r="D112" s="68"/>
      <c r="S112" s="37"/>
    </row>
    <row r="113" spans="3:19" s="36" customFormat="1" ht="12.95" customHeight="1" x14ac:dyDescent="0.2">
      <c r="C113" s="68"/>
      <c r="D113" s="68"/>
      <c r="S113" s="37"/>
    </row>
    <row r="114" spans="3:19" s="36" customFormat="1" ht="12.95" customHeight="1" x14ac:dyDescent="0.2">
      <c r="C114" s="68"/>
      <c r="D114" s="68"/>
      <c r="S114" s="37"/>
    </row>
    <row r="115" spans="3:19" s="36" customFormat="1" ht="12.95" customHeight="1" x14ac:dyDescent="0.2">
      <c r="C115" s="68"/>
      <c r="D115" s="68"/>
      <c r="S115" s="37"/>
    </row>
    <row r="116" spans="3:19" s="36" customFormat="1" ht="12.95" customHeight="1" x14ac:dyDescent="0.2">
      <c r="C116" s="68"/>
      <c r="D116" s="68"/>
      <c r="S116" s="37"/>
    </row>
    <row r="117" spans="3:19" s="36" customFormat="1" ht="12.95" customHeight="1" x14ac:dyDescent="0.2">
      <c r="C117" s="68"/>
      <c r="D117" s="68"/>
      <c r="S117" s="37"/>
    </row>
    <row r="118" spans="3:19" s="36" customFormat="1" ht="12.95" customHeight="1" x14ac:dyDescent="0.2">
      <c r="C118" s="68"/>
      <c r="D118" s="68"/>
      <c r="S118" s="37"/>
    </row>
    <row r="119" spans="3:19" s="36" customFormat="1" ht="12.95" customHeight="1" x14ac:dyDescent="0.2">
      <c r="C119" s="68"/>
      <c r="D119" s="68"/>
      <c r="S119" s="37"/>
    </row>
    <row r="120" spans="3:19" s="36" customFormat="1" ht="12.95" customHeight="1" x14ac:dyDescent="0.2">
      <c r="C120" s="68"/>
      <c r="D120" s="68"/>
      <c r="S120" s="37"/>
    </row>
    <row r="121" spans="3:19" s="36" customFormat="1" ht="12.95" customHeight="1" x14ac:dyDescent="0.2">
      <c r="C121" s="68"/>
      <c r="D121" s="68"/>
      <c r="S121" s="37"/>
    </row>
    <row r="122" spans="3:19" s="36" customFormat="1" ht="12.95" customHeight="1" x14ac:dyDescent="0.2">
      <c r="C122" s="68"/>
      <c r="D122" s="68"/>
      <c r="S122" s="37"/>
    </row>
    <row r="123" spans="3:19" s="36" customFormat="1" ht="12.95" customHeight="1" x14ac:dyDescent="0.2">
      <c r="C123" s="68"/>
      <c r="D123" s="68"/>
      <c r="S123" s="37"/>
    </row>
    <row r="124" spans="3:19" s="36" customFormat="1" ht="12.95" customHeight="1" x14ac:dyDescent="0.2">
      <c r="C124" s="68"/>
      <c r="D124" s="68"/>
      <c r="S124" s="37"/>
    </row>
    <row r="125" spans="3:19" s="36" customFormat="1" ht="12.95" customHeight="1" x14ac:dyDescent="0.2">
      <c r="C125" s="68"/>
      <c r="D125" s="68"/>
      <c r="S125" s="37"/>
    </row>
    <row r="126" spans="3:19" s="36" customFormat="1" ht="12.95" customHeight="1" x14ac:dyDescent="0.2">
      <c r="C126" s="68"/>
      <c r="D126" s="68"/>
      <c r="S126" s="37"/>
    </row>
    <row r="127" spans="3:19" s="36" customFormat="1" ht="12.95" customHeight="1" x14ac:dyDescent="0.2">
      <c r="C127" s="68"/>
      <c r="D127" s="68"/>
      <c r="S127" s="37"/>
    </row>
    <row r="128" spans="3:19" s="36" customFormat="1" ht="12.95" customHeight="1" x14ac:dyDescent="0.2">
      <c r="C128" s="68"/>
      <c r="D128" s="68"/>
      <c r="S128" s="37"/>
    </row>
    <row r="129" spans="3:19" s="36" customFormat="1" ht="12.95" customHeight="1" x14ac:dyDescent="0.2">
      <c r="C129" s="68"/>
      <c r="D129" s="68"/>
      <c r="S129" s="37"/>
    </row>
    <row r="130" spans="3:19" s="36" customFormat="1" ht="12.95" customHeight="1" x14ac:dyDescent="0.2">
      <c r="C130" s="68"/>
      <c r="D130" s="68"/>
      <c r="S130" s="37"/>
    </row>
    <row r="131" spans="3:19" s="36" customFormat="1" ht="12.95" customHeight="1" x14ac:dyDescent="0.2">
      <c r="C131" s="68"/>
      <c r="D131" s="68"/>
      <c r="S131" s="37"/>
    </row>
    <row r="132" spans="3:19" s="36" customFormat="1" ht="12.95" customHeight="1" x14ac:dyDescent="0.2">
      <c r="C132" s="68"/>
      <c r="D132" s="68"/>
      <c r="S132" s="37"/>
    </row>
    <row r="133" spans="3:19" s="36" customFormat="1" ht="12.95" customHeight="1" x14ac:dyDescent="0.2">
      <c r="C133" s="68"/>
      <c r="D133" s="68"/>
      <c r="S133" s="37"/>
    </row>
    <row r="134" spans="3:19" s="36" customFormat="1" ht="12.95" customHeight="1" x14ac:dyDescent="0.2">
      <c r="C134" s="68"/>
      <c r="D134" s="68"/>
      <c r="S134" s="37"/>
    </row>
    <row r="135" spans="3:19" s="36" customFormat="1" ht="12.95" customHeight="1" x14ac:dyDescent="0.2">
      <c r="C135" s="68"/>
      <c r="D135" s="68"/>
      <c r="S135" s="37"/>
    </row>
    <row r="136" spans="3:19" s="36" customFormat="1" ht="12.95" customHeight="1" x14ac:dyDescent="0.2">
      <c r="C136" s="68"/>
      <c r="D136" s="68"/>
      <c r="S136" s="37"/>
    </row>
    <row r="137" spans="3:19" s="36" customFormat="1" ht="12.95" customHeight="1" x14ac:dyDescent="0.2">
      <c r="C137" s="68"/>
      <c r="D137" s="68"/>
      <c r="S137" s="37"/>
    </row>
    <row r="138" spans="3:19" s="36" customFormat="1" ht="12.95" customHeight="1" x14ac:dyDescent="0.2">
      <c r="C138" s="68"/>
      <c r="D138" s="68"/>
      <c r="S138" s="37"/>
    </row>
    <row r="139" spans="3:19" s="36" customFormat="1" ht="12.95" customHeight="1" x14ac:dyDescent="0.2">
      <c r="C139" s="68"/>
      <c r="D139" s="68"/>
      <c r="S139" s="37"/>
    </row>
    <row r="140" spans="3:19" s="36" customFormat="1" ht="12.95" customHeight="1" x14ac:dyDescent="0.2">
      <c r="C140" s="68"/>
      <c r="D140" s="68"/>
      <c r="S140" s="37"/>
    </row>
    <row r="141" spans="3:19" s="36" customFormat="1" ht="12.95" customHeight="1" x14ac:dyDescent="0.2">
      <c r="C141" s="68"/>
      <c r="D141" s="68"/>
      <c r="S141" s="37"/>
    </row>
    <row r="142" spans="3:19" s="36" customFormat="1" ht="12.95" customHeight="1" x14ac:dyDescent="0.2">
      <c r="C142" s="68"/>
      <c r="D142" s="68"/>
      <c r="S142" s="37"/>
    </row>
    <row r="143" spans="3:19" s="36" customFormat="1" ht="12.95" customHeight="1" x14ac:dyDescent="0.2">
      <c r="C143" s="68"/>
      <c r="D143" s="68"/>
      <c r="S143" s="37"/>
    </row>
    <row r="144" spans="3:19" s="36" customFormat="1" ht="12.95" customHeight="1" x14ac:dyDescent="0.2">
      <c r="C144" s="68"/>
      <c r="D144" s="68"/>
      <c r="S144" s="37"/>
    </row>
    <row r="145" spans="3:19" s="36" customFormat="1" ht="12.95" customHeight="1" x14ac:dyDescent="0.2">
      <c r="C145" s="68"/>
      <c r="D145" s="68"/>
      <c r="S145" s="37"/>
    </row>
    <row r="146" spans="3:19" s="36" customFormat="1" ht="12.95" customHeight="1" x14ac:dyDescent="0.2">
      <c r="C146" s="68"/>
      <c r="D146" s="68"/>
      <c r="S146" s="37"/>
    </row>
    <row r="147" spans="3:19" s="36" customFormat="1" ht="12.95" customHeight="1" x14ac:dyDescent="0.2">
      <c r="C147" s="68"/>
      <c r="D147" s="68"/>
      <c r="S147" s="37"/>
    </row>
    <row r="148" spans="3:19" s="36" customFormat="1" ht="12.95" customHeight="1" x14ac:dyDescent="0.2">
      <c r="C148" s="68"/>
      <c r="D148" s="68"/>
      <c r="S148" s="37"/>
    </row>
    <row r="149" spans="3:19" s="36" customFormat="1" ht="12.95" customHeight="1" x14ac:dyDescent="0.2">
      <c r="C149" s="68"/>
      <c r="D149" s="68"/>
      <c r="S149" s="37"/>
    </row>
    <row r="150" spans="3:19" s="36" customFormat="1" ht="12.95" customHeight="1" x14ac:dyDescent="0.2">
      <c r="C150" s="68"/>
      <c r="D150" s="68"/>
      <c r="S150" s="37"/>
    </row>
    <row r="151" spans="3:19" s="36" customFormat="1" ht="12.95" customHeight="1" x14ac:dyDescent="0.2">
      <c r="C151" s="68"/>
      <c r="D151" s="68"/>
      <c r="S151" s="37"/>
    </row>
    <row r="152" spans="3:19" s="36" customFormat="1" ht="12.95" customHeight="1" x14ac:dyDescent="0.2">
      <c r="C152" s="68"/>
      <c r="D152" s="68"/>
      <c r="S152" s="37"/>
    </row>
    <row r="153" spans="3:19" s="36" customFormat="1" ht="12.95" customHeight="1" x14ac:dyDescent="0.2">
      <c r="C153" s="68"/>
      <c r="D153" s="68"/>
      <c r="S153" s="37"/>
    </row>
    <row r="154" spans="3:19" s="36" customFormat="1" ht="12.95" customHeight="1" x14ac:dyDescent="0.2">
      <c r="C154" s="68"/>
      <c r="D154" s="68"/>
      <c r="S154" s="37"/>
    </row>
    <row r="155" spans="3:19" s="36" customFormat="1" ht="12.95" customHeight="1" x14ac:dyDescent="0.2">
      <c r="C155" s="68"/>
      <c r="D155" s="68"/>
      <c r="S155" s="37"/>
    </row>
    <row r="156" spans="3:19" s="36" customFormat="1" ht="12.95" customHeight="1" x14ac:dyDescent="0.2">
      <c r="C156" s="68"/>
      <c r="D156" s="68"/>
      <c r="S156" s="37"/>
    </row>
    <row r="157" spans="3:19" s="36" customFormat="1" ht="12.95" customHeight="1" x14ac:dyDescent="0.2">
      <c r="C157" s="68"/>
      <c r="D157" s="68"/>
      <c r="S157" s="37"/>
    </row>
    <row r="158" spans="3:19" s="36" customFormat="1" ht="12.95" customHeight="1" x14ac:dyDescent="0.2">
      <c r="C158" s="68"/>
      <c r="D158" s="68"/>
      <c r="S158" s="37"/>
    </row>
    <row r="159" spans="3:19" s="36" customFormat="1" ht="12.95" customHeight="1" x14ac:dyDescent="0.2">
      <c r="C159" s="68"/>
      <c r="D159" s="68"/>
      <c r="S159" s="37"/>
    </row>
    <row r="160" spans="3:19" s="36" customFormat="1" ht="12.95" customHeight="1" x14ac:dyDescent="0.2">
      <c r="C160" s="68"/>
      <c r="D160" s="68"/>
      <c r="S160" s="37"/>
    </row>
    <row r="161" spans="3:19" s="36" customFormat="1" ht="12.95" customHeight="1" x14ac:dyDescent="0.2">
      <c r="C161" s="68"/>
      <c r="D161" s="68"/>
      <c r="S161" s="37"/>
    </row>
    <row r="162" spans="3:19" s="36" customFormat="1" ht="12.95" customHeight="1" x14ac:dyDescent="0.2">
      <c r="C162" s="68"/>
      <c r="D162" s="68"/>
      <c r="S162" s="37"/>
    </row>
    <row r="163" spans="3:19" x14ac:dyDescent="0.2">
      <c r="C163" s="10"/>
      <c r="D163" s="10"/>
    </row>
    <row r="164" spans="3:19" x14ac:dyDescent="0.2">
      <c r="C164" s="10"/>
      <c r="D164" s="10"/>
    </row>
    <row r="165" spans="3:19" x14ac:dyDescent="0.2">
      <c r="C165" s="10"/>
      <c r="D165" s="10"/>
    </row>
    <row r="166" spans="3:19" x14ac:dyDescent="0.2">
      <c r="C166" s="10"/>
      <c r="D166" s="10"/>
    </row>
    <row r="167" spans="3:19" x14ac:dyDescent="0.2">
      <c r="C167" s="10"/>
      <c r="D167" s="10"/>
    </row>
    <row r="168" spans="3:19" x14ac:dyDescent="0.2">
      <c r="C168" s="10"/>
      <c r="D168" s="10"/>
    </row>
    <row r="169" spans="3:19" x14ac:dyDescent="0.2">
      <c r="C169" s="10"/>
      <c r="D169" s="10"/>
    </row>
    <row r="170" spans="3:19" x14ac:dyDescent="0.2">
      <c r="C170" s="10"/>
      <c r="D170" s="10"/>
    </row>
    <row r="171" spans="3:19" x14ac:dyDescent="0.2">
      <c r="C171" s="10"/>
      <c r="D171" s="10"/>
    </row>
    <row r="172" spans="3:19" x14ac:dyDescent="0.2">
      <c r="C172" s="10"/>
      <c r="D172" s="10"/>
    </row>
    <row r="173" spans="3:19" x14ac:dyDescent="0.2">
      <c r="C173" s="10"/>
      <c r="D173" s="10"/>
    </row>
    <row r="174" spans="3:19" x14ac:dyDescent="0.2">
      <c r="C174" s="10"/>
      <c r="D174" s="10"/>
    </row>
    <row r="175" spans="3:19" x14ac:dyDescent="0.2">
      <c r="C175" s="10"/>
      <c r="D175" s="10"/>
    </row>
    <row r="176" spans="3:19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</sheetData>
  <sortState xmlns:xlrd2="http://schemas.microsoft.com/office/spreadsheetml/2017/richdata2" ref="A21:U56">
    <sortCondition ref="C21:C56"/>
  </sortState>
  <phoneticPr fontId="8" type="noConversion"/>
  <hyperlinks>
    <hyperlink ref="H817" r:id="rId1" display="http://vsolj.cetus-net.org/bulletin.html" xr:uid="{00000000-0004-0000-0000-000000000000}"/>
    <hyperlink ref="H64551" r:id="rId2" display="http://vsolj.cetus-net.org/bulletin.html" xr:uid="{00000000-0004-0000-0000-000001000000}"/>
    <hyperlink ref="H64544" r:id="rId3" display="https://www.aavso.org/ejaavso" xr:uid="{00000000-0004-0000-0000-000002000000}"/>
    <hyperlink ref="AP695" r:id="rId4" display="http://cdsbib.u-strasbg.fr/cgi-bin/cdsbib?1990RMxAA..21..381G" xr:uid="{00000000-0004-0000-0000-000003000000}"/>
    <hyperlink ref="AP699" r:id="rId5" display="http://cdsbib.u-strasbg.fr/cgi-bin/cdsbib?1990RMxAA..21..381G" xr:uid="{00000000-0004-0000-0000-000004000000}"/>
    <hyperlink ref="AP698" r:id="rId6" display="http://cdsbib.u-strasbg.fr/cgi-bin/cdsbib?1990RMxAA..21..381G" xr:uid="{00000000-0004-0000-0000-000005000000}"/>
    <hyperlink ref="AP679" r:id="rId7" display="http://cdsbib.u-strasbg.fr/cgi-bin/cdsbib?1990RMxAA..21..381G" xr:uid="{00000000-0004-0000-0000-000006000000}"/>
    <hyperlink ref="I64551" r:id="rId8" display="http://vsolj.cetus-net.org/bulletin.html" xr:uid="{00000000-0004-0000-0000-000007000000}"/>
    <hyperlink ref="AQ835" r:id="rId9" display="http://cdsbib.u-strasbg.fr/cgi-bin/cdsbib?1990RMxAA..21..381G" xr:uid="{00000000-0004-0000-0000-000008000000}"/>
    <hyperlink ref="AQ55601" r:id="rId10" display="http://cdsbib.u-strasbg.fr/cgi-bin/cdsbib?1990RMxAA..21..381G" xr:uid="{00000000-0004-0000-0000-000009000000}"/>
    <hyperlink ref="AQ836" r:id="rId11" display="http://cdsbib.u-strasbg.fr/cgi-bin/cdsbib?1990RMxAA..21..381G" xr:uid="{00000000-0004-0000-0000-00000A000000}"/>
    <hyperlink ref="H64548" r:id="rId12" display="https://www.aavso.org/ejaavso" xr:uid="{00000000-0004-0000-0000-00000B000000}"/>
    <hyperlink ref="H1721" r:id="rId13" display="http://vsolj.cetus-net.org/bulletin.html" xr:uid="{00000000-0004-0000-0000-00000C000000}"/>
    <hyperlink ref="AP2965" r:id="rId14" display="http://cdsbib.u-strasbg.fr/cgi-bin/cdsbib?1990RMxAA..21..381G" xr:uid="{00000000-0004-0000-0000-00000D000000}"/>
    <hyperlink ref="AP2968" r:id="rId15" display="http://cdsbib.u-strasbg.fr/cgi-bin/cdsbib?1990RMxAA..21..381G" xr:uid="{00000000-0004-0000-0000-00000E000000}"/>
    <hyperlink ref="AP2966" r:id="rId16" display="http://cdsbib.u-strasbg.fr/cgi-bin/cdsbib?1990RMxAA..21..381G" xr:uid="{00000000-0004-0000-0000-00000F000000}"/>
    <hyperlink ref="AP2950" r:id="rId17" display="http://cdsbib.u-strasbg.fr/cgi-bin/cdsbib?1990RMxAA..21..381G" xr:uid="{00000000-0004-0000-0000-000010000000}"/>
    <hyperlink ref="I1721" r:id="rId18" display="http://vsolj.cetus-net.org/bulletin.html" xr:uid="{00000000-0004-0000-0000-000011000000}"/>
    <hyperlink ref="AQ3179" r:id="rId19" display="http://cdsbib.u-strasbg.fr/cgi-bin/cdsbib?1990RMxAA..21..381G" xr:uid="{00000000-0004-0000-0000-000012000000}"/>
    <hyperlink ref="AQ65416" r:id="rId20" display="http://cdsbib.u-strasbg.fr/cgi-bin/cdsbib?1990RMxAA..21..381G" xr:uid="{00000000-0004-0000-0000-000013000000}"/>
    <hyperlink ref="AQ3183" r:id="rId21" display="http://cdsbib.u-strasbg.fr/cgi-bin/cdsbib?1990RMxAA..21..381G" xr:uid="{00000000-0004-0000-0000-000014000000}"/>
    <hyperlink ref="H64361" r:id="rId22" display="http://vsolj.cetus-net.org/bulletin.html" xr:uid="{00000000-0004-0000-0000-000015000000}"/>
    <hyperlink ref="H64354" r:id="rId23" display="https://www.aavso.org/ejaavso" xr:uid="{00000000-0004-0000-0000-000016000000}"/>
    <hyperlink ref="I64361" r:id="rId24" display="http://vsolj.cetus-net.org/bulletin.html" xr:uid="{00000000-0004-0000-0000-000017000000}"/>
    <hyperlink ref="AQ58012" r:id="rId25" display="http://cdsbib.u-strasbg.fr/cgi-bin/cdsbib?1990RMxAA..21..381G" xr:uid="{00000000-0004-0000-0000-000018000000}"/>
    <hyperlink ref="H64358" r:id="rId26" display="https://www.aavso.org/ejaavso" xr:uid="{00000000-0004-0000-0000-000019000000}"/>
    <hyperlink ref="AP5376" r:id="rId27" display="http://cdsbib.u-strasbg.fr/cgi-bin/cdsbib?1990RMxAA..21..381G" xr:uid="{00000000-0004-0000-0000-00001A000000}"/>
    <hyperlink ref="AP5379" r:id="rId28" display="http://cdsbib.u-strasbg.fr/cgi-bin/cdsbib?1990RMxAA..21..381G" xr:uid="{00000000-0004-0000-0000-00001B000000}"/>
    <hyperlink ref="AP5377" r:id="rId29" display="http://cdsbib.u-strasbg.fr/cgi-bin/cdsbib?1990RMxAA..21..381G" xr:uid="{00000000-0004-0000-0000-00001C000000}"/>
    <hyperlink ref="AP5361" r:id="rId30" display="http://cdsbib.u-strasbg.fr/cgi-bin/cdsbib?1990RMxAA..21..381G" xr:uid="{00000000-0004-0000-0000-00001D000000}"/>
    <hyperlink ref="AQ5590" r:id="rId31" display="http://cdsbib.u-strasbg.fr/cgi-bin/cdsbib?1990RMxAA..21..381G" xr:uid="{00000000-0004-0000-0000-00001E000000}"/>
    <hyperlink ref="AQ5594" r:id="rId32" display="http://cdsbib.u-strasbg.fr/cgi-bin/cdsbib?1990RMxAA..21..381G" xr:uid="{00000000-0004-0000-0000-00001F000000}"/>
    <hyperlink ref="AQ65274" r:id="rId33" display="http://cdsbib.u-strasbg.fr/cgi-bin/cdsbib?1990RMxAA..21..381G" xr:uid="{00000000-0004-0000-0000-000020000000}"/>
    <hyperlink ref="I2482" r:id="rId34" display="http://vsolj.cetus-net.org/bulletin.html" xr:uid="{00000000-0004-0000-0000-000021000000}"/>
    <hyperlink ref="H2482" r:id="rId35" display="http://vsolj.cetus-net.org/bulletin.html" xr:uid="{00000000-0004-0000-0000-000022000000}"/>
    <hyperlink ref="AQ399" r:id="rId36" display="http://cdsbib.u-strasbg.fr/cgi-bin/cdsbib?1990RMxAA..21..381G" xr:uid="{00000000-0004-0000-0000-000023000000}"/>
    <hyperlink ref="AQ398" r:id="rId37" display="http://cdsbib.u-strasbg.fr/cgi-bin/cdsbib?1990RMxAA..21..381G" xr:uid="{00000000-0004-0000-0000-000024000000}"/>
    <hyperlink ref="AP3652" r:id="rId38" display="http://cdsbib.u-strasbg.fr/cgi-bin/cdsbib?1990RMxAA..21..381G" xr:uid="{00000000-0004-0000-0000-000025000000}"/>
    <hyperlink ref="AP3670" r:id="rId39" display="http://cdsbib.u-strasbg.fr/cgi-bin/cdsbib?1990RMxAA..21..381G" xr:uid="{00000000-0004-0000-0000-000026000000}"/>
    <hyperlink ref="AP3671" r:id="rId40" display="http://cdsbib.u-strasbg.fr/cgi-bin/cdsbib?1990RMxAA..21..381G" xr:uid="{00000000-0004-0000-0000-000027000000}"/>
    <hyperlink ref="AP3667" r:id="rId41" display="http://cdsbib.u-strasbg.fr/cgi-bin/cdsbib?1990RMxAA..21..381G" xr:uid="{00000000-0004-0000-0000-000028000000}"/>
  </hyperlinks>
  <pageMargins left="0.75" right="0.75" top="1" bottom="1" header="0.5" footer="0.5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940"/>
  <sheetViews>
    <sheetView workbookViewId="0"/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41</v>
      </c>
    </row>
    <row r="2" spans="1:7" x14ac:dyDescent="0.2">
      <c r="A2" t="s">
        <v>27</v>
      </c>
      <c r="B2" t="s">
        <v>44</v>
      </c>
      <c r="C2" s="3"/>
      <c r="D2" s="3" t="s">
        <v>45</v>
      </c>
    </row>
    <row r="3" spans="1:7" ht="13.5" thickBot="1" x14ac:dyDescent="0.25"/>
    <row r="4" spans="1:7" ht="14.25" thickTop="1" thickBot="1" x14ac:dyDescent="0.25">
      <c r="A4" s="5" t="s">
        <v>3</v>
      </c>
      <c r="C4" s="8" t="s">
        <v>42</v>
      </c>
      <c r="D4" s="9" t="s">
        <v>42</v>
      </c>
    </row>
    <row r="6" spans="1:7" x14ac:dyDescent="0.2">
      <c r="A6" s="5" t="s">
        <v>4</v>
      </c>
    </row>
    <row r="7" spans="1:7" x14ac:dyDescent="0.2">
      <c r="A7" t="s">
        <v>5</v>
      </c>
      <c r="C7">
        <v>51448.682000000001</v>
      </c>
      <c r="D7" t="s">
        <v>43</v>
      </c>
    </row>
    <row r="8" spans="1:7" x14ac:dyDescent="0.2">
      <c r="A8" t="s">
        <v>6</v>
      </c>
      <c r="C8">
        <v>0.27851369999999998</v>
      </c>
    </row>
    <row r="9" spans="1:7" x14ac:dyDescent="0.2">
      <c r="A9" s="11" t="s">
        <v>34</v>
      </c>
      <c r="B9" s="12"/>
      <c r="C9" s="13">
        <v>8</v>
      </c>
      <c r="D9" s="12" t="s">
        <v>35</v>
      </c>
      <c r="E9" s="12"/>
    </row>
    <row r="10" spans="1:7" ht="13.5" thickBot="1" x14ac:dyDescent="0.25">
      <c r="A10" s="12"/>
      <c r="B10" s="12"/>
      <c r="C10" s="4" t="s">
        <v>23</v>
      </c>
      <c r="D10" s="4" t="s">
        <v>24</v>
      </c>
      <c r="E10" s="12"/>
    </row>
    <row r="11" spans="1:7" x14ac:dyDescent="0.2">
      <c r="A11" s="12" t="s">
        <v>18</v>
      </c>
      <c r="B11" s="12"/>
      <c r="C11" s="24">
        <f ca="1">INTERCEPT(INDIRECT($G$11):G992,INDIRECT($F$11):F992)</f>
        <v>2.5306548763977189E-2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7" x14ac:dyDescent="0.2">
      <c r="A12" s="12" t="s">
        <v>19</v>
      </c>
      <c r="B12" s="12"/>
      <c r="C12" s="24">
        <f ca="1">SLOPE(INDIRECT($G$11):G992,INDIRECT($F$11):F992)</f>
        <v>-2.6166653497448954E-6</v>
      </c>
      <c r="D12" s="3"/>
      <c r="E12" s="12"/>
    </row>
    <row r="13" spans="1:7" x14ac:dyDescent="0.2">
      <c r="A13" s="12" t="s">
        <v>22</v>
      </c>
      <c r="B13" s="12"/>
      <c r="C13" s="3" t="s">
        <v>16</v>
      </c>
      <c r="D13" s="3"/>
      <c r="E13" s="12"/>
    </row>
    <row r="14" spans="1:7" x14ac:dyDescent="0.2">
      <c r="A14" s="12"/>
      <c r="B14" s="12"/>
      <c r="C14" s="12"/>
      <c r="D14" s="12"/>
      <c r="E14" s="12"/>
    </row>
    <row r="15" spans="1:7" x14ac:dyDescent="0.2">
      <c r="A15" s="14" t="s">
        <v>20</v>
      </c>
      <c r="B15" s="12"/>
      <c r="C15" s="15">
        <f ca="1">(C7+C11)+(C8+C12)*INT(MAX(F21:F3533))</f>
        <v>56397.849257405498</v>
      </c>
      <c r="D15" s="16" t="s">
        <v>36</v>
      </c>
      <c r="E15" s="17">
        <f ca="1">TODAY()+15018.5-B9/24</f>
        <v>60313.5</v>
      </c>
    </row>
    <row r="16" spans="1:7" x14ac:dyDescent="0.2">
      <c r="A16" s="18" t="s">
        <v>7</v>
      </c>
      <c r="B16" s="12"/>
      <c r="C16" s="19">
        <f ca="1">+C8+C12</f>
        <v>0.27851108333465024</v>
      </c>
      <c r="D16" s="16" t="s">
        <v>37</v>
      </c>
      <c r="E16" s="17">
        <f ca="1">ROUND(2*(E15-C15)/C16,0)/2+1</f>
        <v>14060</v>
      </c>
    </row>
    <row r="17" spans="1:18" ht="13.5" thickBot="1" x14ac:dyDescent="0.25">
      <c r="A17" s="16" t="s">
        <v>33</v>
      </c>
      <c r="B17" s="12"/>
      <c r="C17" s="12">
        <f>COUNT(C21:C2191)</f>
        <v>4</v>
      </c>
      <c r="D17" s="16" t="s">
        <v>38</v>
      </c>
      <c r="E17" s="20">
        <f ca="1">+C15+C16*E16-15018.5-C9/24</f>
        <v>45294.881755757342</v>
      </c>
    </row>
    <row r="18" spans="1:18" ht="14.25" thickTop="1" thickBot="1" x14ac:dyDescent="0.25">
      <c r="A18" s="18" t="s">
        <v>8</v>
      </c>
      <c r="B18" s="12"/>
      <c r="C18" s="21">
        <f ca="1">+C15</f>
        <v>56397.849257405498</v>
      </c>
      <c r="D18" s="22">
        <f ca="1">+C16</f>
        <v>0.27851108333465024</v>
      </c>
      <c r="E18" s="23" t="s">
        <v>39</v>
      </c>
    </row>
    <row r="19" spans="1:18" ht="13.5" thickTop="1" x14ac:dyDescent="0.2">
      <c r="A19" s="27" t="s">
        <v>40</v>
      </c>
      <c r="E19" s="28">
        <v>22</v>
      </c>
    </row>
    <row r="20" spans="1:18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32</v>
      </c>
      <c r="I20" s="7" t="s">
        <v>46</v>
      </c>
      <c r="J20" s="7" t="s">
        <v>21</v>
      </c>
      <c r="K20" s="7" t="s">
        <v>28</v>
      </c>
      <c r="L20" s="7" t="s">
        <v>29</v>
      </c>
      <c r="M20" s="7" t="s">
        <v>30</v>
      </c>
      <c r="N20" s="7" t="s">
        <v>31</v>
      </c>
      <c r="O20" s="7" t="s">
        <v>26</v>
      </c>
      <c r="P20" s="6" t="s">
        <v>25</v>
      </c>
      <c r="Q20" s="4" t="s">
        <v>17</v>
      </c>
    </row>
    <row r="21" spans="1:18" x14ac:dyDescent="0.2">
      <c r="A21" t="s">
        <v>43</v>
      </c>
      <c r="C21" s="10">
        <v>51448.682000000001</v>
      </c>
      <c r="D21" s="10" t="s">
        <v>16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ca="1">+C$11+C$12*$F21</f>
        <v>2.5306548763977189E-2</v>
      </c>
      <c r="Q21" s="2">
        <f>+C21-15018.5</f>
        <v>36430.182000000001</v>
      </c>
    </row>
    <row r="22" spans="1:18" x14ac:dyDescent="0.2">
      <c r="A22" s="5" t="s">
        <v>47</v>
      </c>
      <c r="C22" s="10">
        <v>55366.801200000002</v>
      </c>
      <c r="D22" s="10">
        <v>2.0000000000000001E-4</v>
      </c>
      <c r="E22">
        <f>+(C22-C$7)/C$8</f>
        <v>14067.958595932629</v>
      </c>
      <c r="F22">
        <f>ROUND(2*E22,0)/2</f>
        <v>14068</v>
      </c>
      <c r="G22">
        <f>+C22-(C$7+F22*C$8)</f>
        <v>-1.1531600001035258E-2</v>
      </c>
      <c r="I22">
        <f>+G22</f>
        <v>-1.1531600001035258E-2</v>
      </c>
      <c r="O22">
        <f ca="1">+C$11+C$12*$F22</f>
        <v>-1.1504699376233999E-2</v>
      </c>
      <c r="Q22" s="2">
        <f>+C22-15018.5</f>
        <v>40348.301200000002</v>
      </c>
      <c r="R22" t="str">
        <f>IF(ABS(C22-C21)&lt;0.00001,1,"")</f>
        <v/>
      </c>
    </row>
    <row r="23" spans="1:18" x14ac:dyDescent="0.2">
      <c r="A23" s="5" t="s">
        <v>48</v>
      </c>
      <c r="C23" s="10">
        <v>55701.850100000003</v>
      </c>
      <c r="D23" s="10">
        <v>2.0000000000000001E-4</v>
      </c>
      <c r="E23">
        <f>+(C23-C$7)/C$8</f>
        <v>15270.947533281138</v>
      </c>
      <c r="F23">
        <f>ROUND(2*E23,0)/2</f>
        <v>15271</v>
      </c>
      <c r="G23">
        <f>+C23-(C$7+F23*C$8)</f>
        <v>-1.4612699997087475E-2</v>
      </c>
      <c r="I23">
        <f>+G23</f>
        <v>-1.4612699997087475E-2</v>
      </c>
      <c r="O23">
        <f ca="1">+C$11+C$12*$F23</f>
        <v>-1.4652547791977107E-2</v>
      </c>
      <c r="Q23" s="2">
        <f>+C23-15018.5</f>
        <v>40683.350100000003</v>
      </c>
    </row>
    <row r="24" spans="1:18" x14ac:dyDescent="0.2">
      <c r="A24" t="s">
        <v>49</v>
      </c>
      <c r="C24" s="10">
        <v>56397.988499999999</v>
      </c>
      <c r="D24" s="10">
        <v>2.0000000000000001E-4</v>
      </c>
      <c r="E24">
        <f>+(C24-C$7)/C$8</f>
        <v>17770.42386065748</v>
      </c>
      <c r="F24">
        <f>ROUND(2*E24,0)/2</f>
        <v>17770.5</v>
      </c>
      <c r="G24">
        <f>+C24-(C$7+F24*C$8)</f>
        <v>-2.1205850003752857E-2</v>
      </c>
      <c r="I24">
        <f>+G24</f>
        <v>-2.1205850003752857E-2</v>
      </c>
      <c r="O24">
        <f ca="1">+C$11+C$12*$F24</f>
        <v>-2.1192902833664474E-2</v>
      </c>
      <c r="Q24" s="2">
        <f>+C24-15018.5</f>
        <v>41379.488499999999</v>
      </c>
    </row>
    <row r="25" spans="1:18" x14ac:dyDescent="0.2">
      <c r="C25" s="10"/>
      <c r="D25" s="10"/>
      <c r="Q25" s="2"/>
    </row>
    <row r="26" spans="1:18" x14ac:dyDescent="0.2">
      <c r="C26" s="10"/>
      <c r="D26" s="10"/>
      <c r="Q26" s="2"/>
    </row>
    <row r="27" spans="1:18" x14ac:dyDescent="0.2">
      <c r="C27" s="10"/>
      <c r="D27" s="10"/>
      <c r="Q27" s="2"/>
    </row>
    <row r="28" spans="1:18" x14ac:dyDescent="0.2">
      <c r="C28" s="10"/>
      <c r="D28" s="10"/>
      <c r="Q28" s="2"/>
    </row>
    <row r="29" spans="1:18" x14ac:dyDescent="0.2">
      <c r="C29" s="10"/>
      <c r="D29" s="10"/>
      <c r="Q29" s="2"/>
    </row>
    <row r="30" spans="1:18" x14ac:dyDescent="0.2">
      <c r="C30" s="10"/>
      <c r="D30" s="10"/>
      <c r="Q30" s="2"/>
    </row>
    <row r="31" spans="1:18" x14ac:dyDescent="0.2">
      <c r="C31" s="10"/>
      <c r="D31" s="10"/>
      <c r="Q31" s="2"/>
    </row>
    <row r="32" spans="1:18" x14ac:dyDescent="0.2">
      <c r="C32" s="10"/>
      <c r="D32" s="10"/>
      <c r="Q32" s="2"/>
    </row>
    <row r="33" spans="3:17" x14ac:dyDescent="0.2">
      <c r="C33" s="10"/>
      <c r="D33" s="10"/>
      <c r="Q33" s="2"/>
    </row>
    <row r="34" spans="3:17" x14ac:dyDescent="0.2">
      <c r="C34" s="10"/>
      <c r="D34" s="10"/>
    </row>
    <row r="35" spans="3:17" x14ac:dyDescent="0.2">
      <c r="C35" s="10"/>
      <c r="D35" s="10"/>
    </row>
    <row r="36" spans="3:17" x14ac:dyDescent="0.2">
      <c r="C36" s="10"/>
      <c r="D36" s="10"/>
    </row>
    <row r="37" spans="3:17" x14ac:dyDescent="0.2">
      <c r="C37" s="10"/>
      <c r="D37" s="10"/>
    </row>
    <row r="38" spans="3:17" x14ac:dyDescent="0.2">
      <c r="C38" s="10"/>
      <c r="D38" s="10"/>
    </row>
    <row r="39" spans="3:17" x14ac:dyDescent="0.2">
      <c r="C39" s="10"/>
      <c r="D39" s="10"/>
    </row>
    <row r="40" spans="3:17" x14ac:dyDescent="0.2">
      <c r="C40" s="10"/>
      <c r="D40" s="10"/>
    </row>
    <row r="41" spans="3:17" x14ac:dyDescent="0.2">
      <c r="C41" s="10"/>
      <c r="D41" s="10"/>
    </row>
    <row r="42" spans="3:17" x14ac:dyDescent="0.2">
      <c r="C42" s="10"/>
      <c r="D42" s="10"/>
    </row>
    <row r="43" spans="3:17" x14ac:dyDescent="0.2">
      <c r="C43" s="10"/>
      <c r="D43" s="10"/>
    </row>
    <row r="44" spans="3:17" x14ac:dyDescent="0.2">
      <c r="C44" s="10"/>
      <c r="D44" s="10"/>
    </row>
    <row r="45" spans="3:17" x14ac:dyDescent="0.2">
      <c r="C45" s="10"/>
      <c r="D45" s="10"/>
    </row>
    <row r="46" spans="3:17" x14ac:dyDescent="0.2">
      <c r="C46" s="10"/>
      <c r="D46" s="10"/>
    </row>
    <row r="47" spans="3:17" x14ac:dyDescent="0.2">
      <c r="C47" s="10"/>
      <c r="D47" s="10"/>
    </row>
    <row r="48" spans="3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2024-01-04T02:55:15Z</dcterms:modified>
</cp:coreProperties>
</file>