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<sst xmlns="http://schemas.openxmlformats.org/spreadsheetml/2006/main" count="330" uniqueCount="161">
  <si>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</si>
  <si>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</si>
  <si>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</si>
  <si>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</si>
  <si>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</si>
  <si>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</si>
  <si>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</si>
  <si>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</si>
  <si>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</si>
  <si>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</si>
  <si>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</si>
  <si>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</si>
  <si>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</si>
  <si>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</si>
  <si>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</si>
  <si>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</si>
  <si>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</si>
  <si>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</si>
  <si>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</si>
  <si>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</si>
  <si>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</si>
  <si>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</si>
  <si>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</si>
  <si>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</si>
  <si>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</si>
  <si>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</si>
  <si>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</si>
  <si>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</si>
  <si>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Blaettler E</t>
  </si>
  <si>
    <t>BBSAG Bull.113</t>
  </si>
  <si>
    <t>B</t>
  </si>
  <si>
    <t># of data points:</t>
  </si>
  <si>
    <t>IBVS 5761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</si>
  <si>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</si>
  <si>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</si>
  <si>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</si>
  <si>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</si>
  <si>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</si>
  <si>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</si>
  <si>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</si>
  <si>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EA/SD:</t>
  </si>
  <si>
    <t>IBVS 5984</t>
  </si>
  <si>
    <t>BN Del / GSC na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</si>
  <si>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</si>
  <si>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</si>
  <si>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</si>
  <si>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</si>
  <si>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</si>
  <si>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</si>
  <si>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</si>
  <si>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</si>
  <si>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</si>
  <si>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</si>
  <si>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</si>
  <si>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</si>
  <si>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2425498.436 </t>
  </si>
  <si>
    <t> 08.09.1928 22:27 </t>
  </si>
  <si>
    <t> -0.082 </t>
  </si>
  <si>
    <t>P </t>
  </si>
  <si>
    <t> A.Jensch </t>
  </si>
  <si>
    <t> KVBB 19.49 </t>
  </si>
  <si>
    <t>2425855.358 </t>
  </si>
  <si>
    <t> 31.08.1929 20:35 </t>
  </si>
  <si>
    <t> -0.096 </t>
  </si>
  <si>
    <t>2426945.480 </t>
  </si>
  <si>
    <t> 25.08.1932 23:31 </t>
  </si>
  <si>
    <t> -0.611 </t>
  </si>
  <si>
    <t>2428051.52 </t>
  </si>
  <si>
    <t> 06.09.1935 00:28 </t>
  </si>
  <si>
    <t> -0.08 </t>
  </si>
  <si>
    <t>V </t>
  </si>
  <si>
    <t> K.Kordylewski </t>
  </si>
  <si>
    <t> COVS </t>
  </si>
  <si>
    <t>2428066.46 </t>
  </si>
  <si>
    <t> 20.09.1935 23:02 </t>
  </si>
  <si>
    <t> -0.01 </t>
  </si>
  <si>
    <t>2428346.56 </t>
  </si>
  <si>
    <t> 27.06.1936 01:26 </t>
  </si>
  <si>
    <t>2428361.50 </t>
  </si>
  <si>
    <t> 12.07.1936 00:00 </t>
  </si>
  <si>
    <t> 0.06 </t>
  </si>
  <si>
    <t>2428366.40 </t>
  </si>
  <si>
    <t> 16.07.1936 21:36 </t>
  </si>
  <si>
    <t> 0.00 </t>
  </si>
  <si>
    <t>2428371.32 </t>
  </si>
  <si>
    <t> 21.07.1936 19:40 </t>
  </si>
  <si>
    <t> -0.03 </t>
  </si>
  <si>
    <t>2428376.24 </t>
  </si>
  <si>
    <t> 26.07.1936 17:45 </t>
  </si>
  <si>
    <t> -0.07 </t>
  </si>
  <si>
    <t>2428525.20 </t>
  </si>
  <si>
    <t> 22.12.1936 16:48 </t>
  </si>
  <si>
    <t> 0.16 </t>
  </si>
  <si>
    <t>2428755.52 </t>
  </si>
  <si>
    <t> 10.08.1937 00:28 </t>
  </si>
  <si>
    <t> -0.04 </t>
  </si>
  <si>
    <t>2429169.42 </t>
  </si>
  <si>
    <t> 27.09.1938 22:04 </t>
  </si>
  <si>
    <t>2429791.49 </t>
  </si>
  <si>
    <t> 10.06.1940 23:45 </t>
  </si>
  <si>
    <t> -0.17 </t>
  </si>
  <si>
    <t> C.Hoffmeister </t>
  </si>
  <si>
    <t> VSS 1.142 </t>
  </si>
  <si>
    <t>2429846.36 </t>
  </si>
  <si>
    <t> 04.08.1940 20:38 </t>
  </si>
  <si>
    <t> 0.17 </t>
  </si>
  <si>
    <t>2430168.50 </t>
  </si>
  <si>
    <t> 23.06.1941 00:00 </t>
  </si>
  <si>
    <t> 0.07 </t>
  </si>
  <si>
    <t>2430612.54 </t>
  </si>
  <si>
    <t> 10.09.1942 00:57 </t>
  </si>
  <si>
    <t> 0.42 </t>
  </si>
  <si>
    <t>2430614.54 </t>
  </si>
  <si>
    <t> 12.09.1942 00:57 </t>
  </si>
  <si>
    <t> -0.06 </t>
  </si>
  <si>
    <t>2430619.53 </t>
  </si>
  <si>
    <t> 17.09.1942 00:43 </t>
  </si>
  <si>
    <t> -0.02 </t>
  </si>
  <si>
    <t>2437438.528 </t>
  </si>
  <si>
    <t> 19.05.1961 00:40 </t>
  </si>
  <si>
    <t> 0.015 </t>
  </si>
  <si>
    <t> L.Meinunger </t>
  </si>
  <si>
    <t> MVS 3.155 </t>
  </si>
  <si>
    <t>2437909.494 </t>
  </si>
  <si>
    <t> 01.09.1962 23:51 </t>
  </si>
  <si>
    <t> 0.025 </t>
  </si>
  <si>
    <t>2438831.511 </t>
  </si>
  <si>
    <t> 12.03.1965 00:15 </t>
  </si>
  <si>
    <t> -0.042 </t>
  </si>
  <si>
    <t> V.G.Karetnikov </t>
  </si>
  <si>
    <t> AC 1162.6 </t>
  </si>
  <si>
    <t>2438883.555 </t>
  </si>
  <si>
    <t> 03.05.1965 01:19 </t>
  </si>
  <si>
    <t> -0.051 </t>
  </si>
  <si>
    <t>2447013.598 </t>
  </si>
  <si>
    <t> 06.08.1987 02:21 </t>
  </si>
  <si>
    <t> -0.210 </t>
  </si>
  <si>
    <t> J.Borovicka </t>
  </si>
  <si>
    <t> BRNO 30 </t>
  </si>
  <si>
    <t>2450332.5144 </t>
  </si>
  <si>
    <t> 06.09.1996 00:20 </t>
  </si>
  <si>
    <t> -0.2997 </t>
  </si>
  <si>
    <t>E </t>
  </si>
  <si>
    <t>?</t>
  </si>
  <si>
    <t> E.Blättler </t>
  </si>
  <si>
    <t> BBS 113 </t>
  </si>
  <si>
    <t>2454003.4204 </t>
  </si>
  <si>
    <t> 24.09.2006 22:05 </t>
  </si>
  <si>
    <t> -0.3780 </t>
  </si>
  <si>
    <t>C </t>
  </si>
  <si>
    <t>-I</t>
  </si>
  <si>
    <t> F. Agerer </t>
  </si>
  <si>
    <t>BAVM 183 </t>
  </si>
  <si>
    <t>2455396.4332 </t>
  </si>
  <si>
    <t> 18.07.2010 22:23 </t>
  </si>
  <si>
    <t>11032</t>
  </si>
  <si>
    <t> -0.4058 </t>
  </si>
  <si>
    <t> F.Agerer </t>
  </si>
  <si>
    <t>BAVM 215 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</si>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</sst>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6" fillId="33" borderId="17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BN Del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0.001</c:v>
                  </c:pt>
                  <c:pt idx="26">
                    <c:v>0</c:v>
                  </c:pt>
                  <c:pt idx="27">
                    <c:v>0.0004</c:v>
                  </c:pt>
                  <c:pt idx="28">
                    <c:v>0.0023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8442620"/>
        <c:axId val="31765853"/>
      </c:scatterChart>
      <c:valAx>
        <c:axId val="1844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5853"/>
        <c:crosses val="autoZero"/>
        <c:crossBetween val="midCat"/>
        <c:dispUnits/>
      </c:valAx>
      <c:valAx>
        <c:axId val="3176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26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14</xdr:col>
      <xdr:colOff>161925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0057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83" TargetMode="External" /><Relationship Id="rId2" Type="http://schemas.openxmlformats.org/officeDocument/2006/relationships/hyperlink" Target="http://www.bav-astro.de/sfs/BAVM_link.php?BAVMnr=2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07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17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2" ht="12.75">
      <c r="A2" t="s">
        <v>24</v>
      </c>
      <c r="B2" s="17" t="s">
        <v>40</v>
      </c>
    </row>
    <row r="4" spans="1:4" ht="14.25" thickBot="1" thickTop="1">
      <c r="A4" s="6" t="s">
        <v>0</v>
      </c>
      <c r="C4" s="3">
        <v>28051.6</v>
      </c>
      <c r="D4" s="4">
        <v>2.47872</v>
      </c>
    </row>
    <row r="5" spans="1:4" ht="13.5" thickTop="1">
      <c r="A5" s="13" t="s">
        <v>34</v>
      </c>
      <c r="B5" s="48"/>
      <c r="C5" s="15">
        <v>-9.5</v>
      </c>
      <c r="D5" s="14" t="s">
        <v>35</v>
      </c>
    </row>
    <row r="6" ht="12.75">
      <c r="A6" s="6" t="s">
        <v>1</v>
      </c>
    </row>
    <row r="7" spans="1:3" ht="12.75">
      <c r="A7" t="s">
        <v>2</v>
      </c>
      <c r="C7">
        <f>+C4</f>
        <v>28051.6</v>
      </c>
    </row>
    <row r="8" spans="1:3" ht="12.75">
      <c r="A8" t="s">
        <v>3</v>
      </c>
      <c r="C8">
        <f>+D4</f>
        <v>2.47872</v>
      </c>
    </row>
    <row r="9" spans="1:4" ht="12.75">
      <c r="A9" s="29" t="s">
        <v>39</v>
      </c>
      <c r="B9" s="30">
        <v>41</v>
      </c>
      <c r="C9" s="18" t="str">
        <f>"F"&amp;B9</f>
        <v>F41</v>
      </c>
      <c r="D9" s="19" t="str">
        <f>"G"&amp;B9</f>
        <v>G41</v>
      </c>
    </row>
    <row r="10" spans="1:5" ht="13.5" thickBot="1">
      <c r="A10" s="14"/>
      <c r="B10" s="48"/>
      <c r="C10" s="5" t="s">
        <v>20</v>
      </c>
      <c r="D10" s="5" t="s">
        <v>21</v>
      </c>
      <c r="E10" s="14"/>
    </row>
    <row r="11" spans="1:5" ht="12.75">
      <c r="A11" s="14" t="s">
        <v>16</v>
      </c>
      <c r="B11" s="48"/>
      <c r="C11" s="16">
        <f ca="1">INTERCEPT(INDIRECT($D$9):G992,INDIRECT($C$9):F992)</f>
        <v>0.22506262636039062</v>
      </c>
      <c r="D11" s="17"/>
      <c r="E11" s="14"/>
    </row>
    <row r="12" spans="1:5" ht="12.75">
      <c r="A12" s="14" t="s">
        <v>17</v>
      </c>
      <c r="B12" s="48"/>
      <c r="C12" s="16">
        <f ca="1">SLOPE(INDIRECT($D$9):G992,INDIRECT($C$9):F992)</f>
        <v>-5.773856974567505E-05</v>
      </c>
      <c r="D12" s="17"/>
      <c r="E12" s="14"/>
    </row>
    <row r="13" spans="1:3" ht="12.75">
      <c r="A13" s="14" t="s">
        <v>19</v>
      </c>
      <c r="B13" s="48"/>
      <c r="C13" s="17" t="s">
        <v>14</v>
      </c>
    </row>
    <row r="14" spans="1:3" ht="12.75">
      <c r="A14" s="14"/>
      <c r="B14" s="48"/>
      <c r="C14" s="14"/>
    </row>
    <row r="15" spans="1:6" ht="12.75">
      <c r="A15" s="20" t="s">
        <v>18</v>
      </c>
      <c r="B15" s="48"/>
      <c r="C15" s="21">
        <f>(C7+C11)+(C8+C12)*INT(MAX(F21:F3533))</f>
        <v>55396.42713072492</v>
      </c>
      <c r="E15" s="22" t="s">
        <v>159</v>
      </c>
      <c r="F15" s="15">
        <v>1</v>
      </c>
    </row>
    <row r="16" spans="1:6" ht="12.75">
      <c r="A16" s="24" t="s">
        <v>4</v>
      </c>
      <c r="B16" s="48"/>
      <c r="C16" s="25">
        <f>+C8+C12</f>
        <v>2.4786622614302543</v>
      </c>
      <c r="E16" s="22" t="s">
        <v>36</v>
      </c>
      <c r="F16" s="23">
        <f ca="1">NOW()+15018.5+$C$5/24</f>
        <v>59897.75062673611</v>
      </c>
    </row>
    <row r="17" spans="1:6" ht="13.5" thickBot="1">
      <c r="A17" s="22" t="s">
        <v>31</v>
      </c>
      <c r="B17" s="48"/>
      <c r="C17" s="14">
        <f>COUNT(C21:C2191)</f>
        <v>29</v>
      </c>
      <c r="E17" s="22" t="s">
        <v>160</v>
      </c>
      <c r="F17" s="23">
        <f>ROUND(2*(F16-$C$7)/$C$8,0)/2+F15</f>
        <v>12849</v>
      </c>
    </row>
    <row r="18" spans="1:6" ht="14.25" thickBot="1" thickTop="1">
      <c r="A18" s="24" t="s">
        <v>5</v>
      </c>
      <c r="B18" s="48"/>
      <c r="C18" s="27">
        <f>+C15</f>
        <v>55396.42713072492</v>
      </c>
      <c r="D18" s="28">
        <f>+C16</f>
        <v>2.4786622614302543</v>
      </c>
      <c r="E18" s="22" t="s">
        <v>37</v>
      </c>
      <c r="F18" s="19">
        <f>ROUND(2*(F16-$C$15)/$C$16,0)/2+F15</f>
        <v>1817</v>
      </c>
    </row>
    <row r="19" spans="5:6" ht="13.5" thickTop="1">
      <c r="E19" s="22" t="s">
        <v>38</v>
      </c>
      <c r="F19" s="26">
        <f>+$C$15+$C$16*F18-15018.5-$C$5/24</f>
        <v>44882.05229307703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50</v>
      </c>
      <c r="I20" s="8" t="s">
        <v>53</v>
      </c>
      <c r="J20" s="8" t="s">
        <v>47</v>
      </c>
      <c r="K20" s="8" t="s">
        <v>45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46" t="s">
        <v>60</v>
      </c>
      <c r="B21" s="50" t="s">
        <v>33</v>
      </c>
      <c r="C21" s="47">
        <v>25498.436</v>
      </c>
      <c r="D21" s="47" t="s">
        <v>53</v>
      </c>
      <c r="E21">
        <f aca="true" t="shared" si="0" ref="E21:E49">+(C21-C$7)/C$8</f>
        <v>-1030.0332429641094</v>
      </c>
      <c r="F21">
        <f aca="true" t="shared" si="1" ref="F21:F49">ROUND(2*E21,0)/2</f>
        <v>-1030</v>
      </c>
      <c r="G21">
        <f aca="true" t="shared" si="2" ref="G21:G49">+C21-(C$7+F21*C$8)</f>
        <v>-0.08239999999568681</v>
      </c>
      <c r="I21">
        <f>+G21</f>
        <v>-0.08239999999568681</v>
      </c>
      <c r="O21">
        <f aca="true" t="shared" si="3" ref="O21:O49">+C$11+C$12*$F21</f>
        <v>0.2845333531984359</v>
      </c>
      <c r="Q21" s="2">
        <f aca="true" t="shared" si="4" ref="Q21:Q49">+C21-15018.5</f>
        <v>10479.936000000002</v>
      </c>
    </row>
    <row r="22" spans="1:17" ht="12.75">
      <c r="A22" s="46" t="s">
        <v>60</v>
      </c>
      <c r="B22" s="50" t="s">
        <v>33</v>
      </c>
      <c r="C22" s="47">
        <v>25855.358</v>
      </c>
      <c r="D22" s="47" t="s">
        <v>53</v>
      </c>
      <c r="E22">
        <f t="shared" si="0"/>
        <v>-886.0387619416466</v>
      </c>
      <c r="F22">
        <f t="shared" si="1"/>
        <v>-886</v>
      </c>
      <c r="G22">
        <f t="shared" si="2"/>
        <v>-0.09607999999934691</v>
      </c>
      <c r="I22">
        <f>+G22</f>
        <v>-0.09607999999934691</v>
      </c>
      <c r="O22">
        <f t="shared" si="3"/>
        <v>0.2762189991550587</v>
      </c>
      <c r="Q22" s="2">
        <f t="shared" si="4"/>
        <v>10836.858</v>
      </c>
    </row>
    <row r="23" spans="1:17" ht="12.75">
      <c r="A23" s="46" t="s">
        <v>60</v>
      </c>
      <c r="B23" s="50" t="s">
        <v>33</v>
      </c>
      <c r="C23" s="47">
        <v>26945.48</v>
      </c>
      <c r="D23" s="47" t="s">
        <v>53</v>
      </c>
      <c r="E23">
        <f t="shared" si="0"/>
        <v>-446.24644978053146</v>
      </c>
      <c r="F23">
        <f t="shared" si="1"/>
        <v>-446</v>
      </c>
      <c r="G23">
        <f t="shared" si="2"/>
        <v>-0.6108800000001793</v>
      </c>
      <c r="I23">
        <f>+G23</f>
        <v>-0.6108800000001793</v>
      </c>
      <c r="O23">
        <f t="shared" si="3"/>
        <v>0.2508140284669617</v>
      </c>
      <c r="Q23" s="2">
        <f t="shared" si="4"/>
        <v>11926.98</v>
      </c>
    </row>
    <row r="24" spans="1:17" ht="12.75">
      <c r="A24" s="46" t="s">
        <v>72</v>
      </c>
      <c r="B24" s="50" t="s">
        <v>33</v>
      </c>
      <c r="C24" s="47">
        <v>28051.52</v>
      </c>
      <c r="D24" s="47" t="s">
        <v>53</v>
      </c>
      <c r="E24">
        <f t="shared" si="0"/>
        <v>-0.03227472243662384</v>
      </c>
      <c r="F24">
        <f t="shared" si="1"/>
        <v>0</v>
      </c>
      <c r="G24">
        <f t="shared" si="2"/>
        <v>-0.07999999999810825</v>
      </c>
      <c r="I24">
        <f>+G24</f>
        <v>-0.07999999999810825</v>
      </c>
      <c r="O24">
        <f t="shared" si="3"/>
        <v>0.22506262636039062</v>
      </c>
      <c r="Q24" s="2">
        <f t="shared" si="4"/>
        <v>13033.02</v>
      </c>
    </row>
    <row r="25" spans="1:17" ht="12.75">
      <c r="A25" t="s">
        <v>12</v>
      </c>
      <c r="C25" s="9">
        <v>28051.6</v>
      </c>
      <c r="D25" s="9" t="s">
        <v>14</v>
      </c>
      <c r="E25">
        <f t="shared" si="0"/>
        <v>0</v>
      </c>
      <c r="F25">
        <f t="shared" si="1"/>
        <v>0</v>
      </c>
      <c r="G25">
        <f t="shared" si="2"/>
        <v>0</v>
      </c>
      <c r="H25">
        <f>+G25</f>
        <v>0</v>
      </c>
      <c r="O25">
        <f t="shared" si="3"/>
        <v>0.22506262636039062</v>
      </c>
      <c r="Q25" s="2">
        <f t="shared" si="4"/>
        <v>13033.099999999999</v>
      </c>
    </row>
    <row r="26" spans="1:17" ht="12.75">
      <c r="A26" s="46" t="s">
        <v>72</v>
      </c>
      <c r="B26" s="50" t="s">
        <v>33</v>
      </c>
      <c r="C26" s="47">
        <v>28066.46</v>
      </c>
      <c r="D26" s="47" t="s">
        <v>53</v>
      </c>
      <c r="E26">
        <f t="shared" si="0"/>
        <v>5.995029692744877</v>
      </c>
      <c r="F26">
        <f t="shared" si="1"/>
        <v>6</v>
      </c>
      <c r="G26">
        <f t="shared" si="2"/>
        <v>-0.01231999999799882</v>
      </c>
      <c r="I26">
        <f aca="true" t="shared" si="5" ref="I26:I46">+G26</f>
        <v>-0.01231999999799882</v>
      </c>
      <c r="O26">
        <f t="shared" si="3"/>
        <v>0.22471619494191658</v>
      </c>
      <c r="Q26" s="2">
        <f t="shared" si="4"/>
        <v>13047.96</v>
      </c>
    </row>
    <row r="27" spans="1:17" ht="12.75">
      <c r="A27" s="46" t="s">
        <v>72</v>
      </c>
      <c r="B27" s="50" t="s">
        <v>33</v>
      </c>
      <c r="C27" s="47">
        <v>28346.56</v>
      </c>
      <c r="D27" s="47" t="s">
        <v>53</v>
      </c>
      <c r="E27">
        <f t="shared" si="0"/>
        <v>118.99690162664713</v>
      </c>
      <c r="F27">
        <f t="shared" si="1"/>
        <v>119</v>
      </c>
      <c r="G27">
        <f t="shared" si="2"/>
        <v>-0.007679999998799758</v>
      </c>
      <c r="I27">
        <f t="shared" si="5"/>
        <v>-0.007679999998799758</v>
      </c>
      <c r="O27">
        <f t="shared" si="3"/>
        <v>0.2181917365606553</v>
      </c>
      <c r="Q27" s="2">
        <f t="shared" si="4"/>
        <v>13328.060000000001</v>
      </c>
    </row>
    <row r="28" spans="1:17" ht="12.75">
      <c r="A28" s="46" t="s">
        <v>72</v>
      </c>
      <c r="B28" s="50" t="s">
        <v>33</v>
      </c>
      <c r="C28" s="47">
        <v>28361.5</v>
      </c>
      <c r="D28" s="47" t="s">
        <v>53</v>
      </c>
      <c r="E28">
        <f t="shared" si="0"/>
        <v>125.02420604182862</v>
      </c>
      <c r="F28">
        <f t="shared" si="1"/>
        <v>125</v>
      </c>
      <c r="G28">
        <f t="shared" si="2"/>
        <v>0.06000000000130967</v>
      </c>
      <c r="I28">
        <f t="shared" si="5"/>
        <v>0.06000000000130967</v>
      </c>
      <c r="O28">
        <f t="shared" si="3"/>
        <v>0.21784530514218123</v>
      </c>
      <c r="Q28" s="2">
        <f t="shared" si="4"/>
        <v>13343</v>
      </c>
    </row>
    <row r="29" spans="1:17" ht="12.75">
      <c r="A29" s="46" t="s">
        <v>72</v>
      </c>
      <c r="B29" s="50" t="s">
        <v>33</v>
      </c>
      <c r="C29" s="47">
        <v>28366.4</v>
      </c>
      <c r="D29" s="47" t="s">
        <v>53</v>
      </c>
      <c r="E29">
        <f t="shared" si="0"/>
        <v>127.00103279111917</v>
      </c>
      <c r="F29">
        <f t="shared" si="1"/>
        <v>127</v>
      </c>
      <c r="G29">
        <f t="shared" si="2"/>
        <v>0.0025600000044505578</v>
      </c>
      <c r="I29">
        <f t="shared" si="5"/>
        <v>0.0025600000044505578</v>
      </c>
      <c r="O29">
        <f t="shared" si="3"/>
        <v>0.2177298280026899</v>
      </c>
      <c r="Q29" s="2">
        <f t="shared" si="4"/>
        <v>13347.900000000001</v>
      </c>
    </row>
    <row r="30" spans="1:17" ht="12.75">
      <c r="A30" s="46" t="s">
        <v>72</v>
      </c>
      <c r="B30" s="50" t="s">
        <v>33</v>
      </c>
      <c r="C30" s="47">
        <v>28371.32</v>
      </c>
      <c r="D30" s="47" t="s">
        <v>53</v>
      </c>
      <c r="E30">
        <f t="shared" si="0"/>
        <v>128.98592822101776</v>
      </c>
      <c r="F30">
        <f t="shared" si="1"/>
        <v>129</v>
      </c>
      <c r="G30">
        <f t="shared" si="2"/>
        <v>-0.03487999999924796</v>
      </c>
      <c r="I30">
        <f t="shared" si="5"/>
        <v>-0.03487999999924796</v>
      </c>
      <c r="O30">
        <f t="shared" si="3"/>
        <v>0.21761435086319855</v>
      </c>
      <c r="Q30" s="2">
        <f t="shared" si="4"/>
        <v>13352.82</v>
      </c>
    </row>
    <row r="31" spans="1:17" ht="12.75">
      <c r="A31" s="46" t="s">
        <v>72</v>
      </c>
      <c r="B31" s="50" t="s">
        <v>33</v>
      </c>
      <c r="C31" s="47">
        <v>28376.24</v>
      </c>
      <c r="D31" s="47" t="s">
        <v>53</v>
      </c>
      <c r="E31">
        <f t="shared" si="0"/>
        <v>130.97082365091782</v>
      </c>
      <c r="F31">
        <f t="shared" si="1"/>
        <v>131</v>
      </c>
      <c r="G31">
        <f t="shared" si="2"/>
        <v>-0.07231999999567051</v>
      </c>
      <c r="I31">
        <f t="shared" si="5"/>
        <v>-0.07231999999567051</v>
      </c>
      <c r="O31">
        <f t="shared" si="3"/>
        <v>0.2174988737237072</v>
      </c>
      <c r="Q31" s="2">
        <f t="shared" si="4"/>
        <v>13357.740000000002</v>
      </c>
    </row>
    <row r="32" spans="1:17" ht="12.75">
      <c r="A32" s="46" t="s">
        <v>72</v>
      </c>
      <c r="B32" s="50" t="s">
        <v>33</v>
      </c>
      <c r="C32" s="47">
        <v>28525.2</v>
      </c>
      <c r="D32" s="47" t="s">
        <v>53</v>
      </c>
      <c r="E32">
        <f t="shared" si="0"/>
        <v>191.06635682933214</v>
      </c>
      <c r="F32">
        <f t="shared" si="1"/>
        <v>191</v>
      </c>
      <c r="G32">
        <f t="shared" si="2"/>
        <v>0.16448000000309548</v>
      </c>
      <c r="I32">
        <f t="shared" si="5"/>
        <v>0.16448000000309548</v>
      </c>
      <c r="O32">
        <f t="shared" si="3"/>
        <v>0.2140345595389667</v>
      </c>
      <c r="Q32" s="2">
        <f t="shared" si="4"/>
        <v>13506.7</v>
      </c>
    </row>
    <row r="33" spans="1:17" ht="12.75">
      <c r="A33" s="46" t="s">
        <v>72</v>
      </c>
      <c r="B33" s="50" t="s">
        <v>33</v>
      </c>
      <c r="C33" s="47">
        <v>28755.52</v>
      </c>
      <c r="D33" s="47" t="s">
        <v>53</v>
      </c>
      <c r="E33">
        <f t="shared" si="0"/>
        <v>283.9852827265693</v>
      </c>
      <c r="F33">
        <f t="shared" si="1"/>
        <v>284</v>
      </c>
      <c r="G33">
        <f t="shared" si="2"/>
        <v>-0.036479999998846324</v>
      </c>
      <c r="I33">
        <f t="shared" si="5"/>
        <v>-0.036479999998846324</v>
      </c>
      <c r="O33">
        <f t="shared" si="3"/>
        <v>0.2086648725526189</v>
      </c>
      <c r="Q33" s="2">
        <f t="shared" si="4"/>
        <v>13737.02</v>
      </c>
    </row>
    <row r="34" spans="1:17" ht="12.75">
      <c r="A34" s="46" t="s">
        <v>72</v>
      </c>
      <c r="B34" s="50" t="s">
        <v>33</v>
      </c>
      <c r="C34" s="47">
        <v>29169.42</v>
      </c>
      <c r="D34" s="47" t="s">
        <v>53</v>
      </c>
      <c r="E34">
        <f t="shared" si="0"/>
        <v>450.9666279369996</v>
      </c>
      <c r="F34">
        <f t="shared" si="1"/>
        <v>451</v>
      </c>
      <c r="G34">
        <f t="shared" si="2"/>
        <v>-0.08271999999851687</v>
      </c>
      <c r="I34">
        <f t="shared" si="5"/>
        <v>-0.08271999999851687</v>
      </c>
      <c r="O34">
        <f t="shared" si="3"/>
        <v>0.19902253140509119</v>
      </c>
      <c r="Q34" s="2">
        <f t="shared" si="4"/>
        <v>14150.919999999998</v>
      </c>
    </row>
    <row r="35" spans="1:17" ht="12.75">
      <c r="A35" s="46" t="s">
        <v>102</v>
      </c>
      <c r="B35" s="50" t="s">
        <v>33</v>
      </c>
      <c r="C35" s="47">
        <v>29791.49</v>
      </c>
      <c r="D35" s="47" t="s">
        <v>53</v>
      </c>
      <c r="E35">
        <f t="shared" si="0"/>
        <v>701.9308352698179</v>
      </c>
      <c r="F35">
        <f t="shared" si="1"/>
        <v>702</v>
      </c>
      <c r="G35">
        <f t="shared" si="2"/>
        <v>-0.1714399999982561</v>
      </c>
      <c r="I35">
        <f t="shared" si="5"/>
        <v>-0.1714399999982561</v>
      </c>
      <c r="O35">
        <f t="shared" si="3"/>
        <v>0.18453015039892673</v>
      </c>
      <c r="Q35" s="2">
        <f t="shared" si="4"/>
        <v>14772.990000000002</v>
      </c>
    </row>
    <row r="36" spans="1:17" ht="12.75">
      <c r="A36" s="46" t="s">
        <v>102</v>
      </c>
      <c r="B36" s="50" t="s">
        <v>33</v>
      </c>
      <c r="C36" s="47">
        <v>29846.36</v>
      </c>
      <c r="D36" s="47" t="s">
        <v>53</v>
      </c>
      <c r="E36">
        <f t="shared" si="0"/>
        <v>724.0672605215603</v>
      </c>
      <c r="F36">
        <f t="shared" si="1"/>
        <v>724</v>
      </c>
      <c r="G36">
        <f t="shared" si="2"/>
        <v>0.166720000001078</v>
      </c>
      <c r="I36">
        <f t="shared" si="5"/>
        <v>0.166720000001078</v>
      </c>
      <c r="O36">
        <f t="shared" si="3"/>
        <v>0.1832599018645219</v>
      </c>
      <c r="Q36" s="2">
        <f t="shared" si="4"/>
        <v>14827.86</v>
      </c>
    </row>
    <row r="37" spans="1:17" ht="12.75">
      <c r="A37" s="46" t="s">
        <v>72</v>
      </c>
      <c r="B37" s="50" t="s">
        <v>33</v>
      </c>
      <c r="C37" s="47">
        <v>30168.5</v>
      </c>
      <c r="D37" s="47" t="s">
        <v>53</v>
      </c>
      <c r="E37">
        <f t="shared" si="0"/>
        <v>854.0294990963083</v>
      </c>
      <c r="F37">
        <f t="shared" si="1"/>
        <v>854</v>
      </c>
      <c r="G37">
        <f t="shared" si="2"/>
        <v>0.07312000000092667</v>
      </c>
      <c r="I37">
        <f t="shared" si="5"/>
        <v>0.07312000000092667</v>
      </c>
      <c r="O37">
        <f t="shared" si="3"/>
        <v>0.17575388779758414</v>
      </c>
      <c r="Q37" s="2">
        <f t="shared" si="4"/>
        <v>15150</v>
      </c>
    </row>
    <row r="38" spans="1:17" ht="12.75">
      <c r="A38" s="46" t="s">
        <v>102</v>
      </c>
      <c r="B38" s="50" t="s">
        <v>33</v>
      </c>
      <c r="C38" s="47">
        <v>30612.54</v>
      </c>
      <c r="D38" s="47" t="s">
        <v>53</v>
      </c>
      <c r="E38">
        <f t="shared" si="0"/>
        <v>1033.1703459850255</v>
      </c>
      <c r="F38">
        <f t="shared" si="1"/>
        <v>1033</v>
      </c>
      <c r="G38">
        <f t="shared" si="2"/>
        <v>0.42224000000351225</v>
      </c>
      <c r="I38">
        <f t="shared" si="5"/>
        <v>0.42224000000351225</v>
      </c>
      <c r="O38">
        <f t="shared" si="3"/>
        <v>0.16541868381310829</v>
      </c>
      <c r="Q38" s="2">
        <f t="shared" si="4"/>
        <v>15594.04</v>
      </c>
    </row>
    <row r="39" spans="1:17" ht="12.75">
      <c r="A39" s="46" t="s">
        <v>102</v>
      </c>
      <c r="B39" s="50" t="s">
        <v>33</v>
      </c>
      <c r="C39" s="47">
        <v>30614.54</v>
      </c>
      <c r="D39" s="47" t="s">
        <v>53</v>
      </c>
      <c r="E39">
        <f t="shared" si="0"/>
        <v>1033.9772140459602</v>
      </c>
      <c r="F39">
        <f t="shared" si="1"/>
        <v>1034</v>
      </c>
      <c r="G39">
        <f t="shared" si="2"/>
        <v>-0.05647999999928288</v>
      </c>
      <c r="I39">
        <f t="shared" si="5"/>
        <v>-0.05647999999928288</v>
      </c>
      <c r="O39">
        <f t="shared" si="3"/>
        <v>0.16536094524336262</v>
      </c>
      <c r="Q39" s="2">
        <f t="shared" si="4"/>
        <v>15596.04</v>
      </c>
    </row>
    <row r="40" spans="1:17" ht="12.75">
      <c r="A40" s="46" t="s">
        <v>102</v>
      </c>
      <c r="B40" s="50" t="s">
        <v>33</v>
      </c>
      <c r="C40" s="47">
        <v>30619.53</v>
      </c>
      <c r="D40" s="47" t="s">
        <v>53</v>
      </c>
      <c r="E40">
        <f t="shared" si="0"/>
        <v>1035.9903498579913</v>
      </c>
      <c r="F40">
        <f t="shared" si="1"/>
        <v>1036</v>
      </c>
      <c r="G40">
        <f t="shared" si="2"/>
        <v>-0.023919999999634456</v>
      </c>
      <c r="I40">
        <f t="shared" si="5"/>
        <v>-0.023919999999634456</v>
      </c>
      <c r="O40">
        <f t="shared" si="3"/>
        <v>0.16524546810387125</v>
      </c>
      <c r="Q40" s="2">
        <f t="shared" si="4"/>
        <v>15601.029999999999</v>
      </c>
    </row>
    <row r="41" spans="1:17" ht="12.75">
      <c r="A41" s="46" t="s">
        <v>122</v>
      </c>
      <c r="B41" s="50" t="s">
        <v>33</v>
      </c>
      <c r="C41" s="47">
        <v>37438.528</v>
      </c>
      <c r="D41" s="47" t="s">
        <v>53</v>
      </c>
      <c r="E41">
        <f t="shared" si="0"/>
        <v>3787.0061967467077</v>
      </c>
      <c r="F41">
        <f t="shared" si="1"/>
        <v>3787</v>
      </c>
      <c r="G41">
        <f t="shared" si="2"/>
        <v>0.015359999997599516</v>
      </c>
      <c r="I41">
        <f t="shared" si="5"/>
        <v>0.015359999997599516</v>
      </c>
      <c r="O41">
        <f t="shared" si="3"/>
        <v>0.006406662733519197</v>
      </c>
      <c r="Q41" s="2">
        <f t="shared" si="4"/>
        <v>22420.028</v>
      </c>
    </row>
    <row r="42" spans="1:17" ht="12.75">
      <c r="A42" s="46" t="s">
        <v>122</v>
      </c>
      <c r="B42" s="50" t="s">
        <v>33</v>
      </c>
      <c r="C42" s="47">
        <v>37909.494</v>
      </c>
      <c r="D42" s="47" t="s">
        <v>53</v>
      </c>
      <c r="E42">
        <f t="shared" si="0"/>
        <v>3977.009908339788</v>
      </c>
      <c r="F42">
        <f t="shared" si="1"/>
        <v>3977</v>
      </c>
      <c r="G42">
        <f t="shared" si="2"/>
        <v>0.02455999999801861</v>
      </c>
      <c r="I42">
        <f t="shared" si="5"/>
        <v>0.02455999999801861</v>
      </c>
      <c r="O42">
        <f t="shared" si="3"/>
        <v>-0.004563665518159066</v>
      </c>
      <c r="Q42" s="2">
        <f t="shared" si="4"/>
        <v>22890.994</v>
      </c>
    </row>
    <row r="43" spans="1:17" ht="12.75">
      <c r="A43" s="46" t="s">
        <v>130</v>
      </c>
      <c r="B43" s="50" t="s">
        <v>33</v>
      </c>
      <c r="C43" s="47">
        <v>38831.511</v>
      </c>
      <c r="D43" s="47" t="s">
        <v>53</v>
      </c>
      <c r="E43">
        <f t="shared" si="0"/>
        <v>4348.982942809192</v>
      </c>
      <c r="F43">
        <f t="shared" si="1"/>
        <v>4349</v>
      </c>
      <c r="G43">
        <f t="shared" si="2"/>
        <v>-0.04228000000148313</v>
      </c>
      <c r="I43">
        <f t="shared" si="5"/>
        <v>-0.04228000000148313</v>
      </c>
      <c r="O43">
        <f t="shared" si="3"/>
        <v>-0.026042413463550157</v>
      </c>
      <c r="Q43" s="2">
        <f t="shared" si="4"/>
        <v>23813.011</v>
      </c>
    </row>
    <row r="44" spans="1:17" ht="12.75">
      <c r="A44" s="46" t="s">
        <v>122</v>
      </c>
      <c r="B44" s="50" t="s">
        <v>33</v>
      </c>
      <c r="C44" s="47">
        <v>38883.555</v>
      </c>
      <c r="D44" s="47" t="s">
        <v>53</v>
      </c>
      <c r="E44">
        <f t="shared" si="0"/>
        <v>4369.9792634908345</v>
      </c>
      <c r="F44">
        <f t="shared" si="1"/>
        <v>4370</v>
      </c>
      <c r="G44">
        <f t="shared" si="2"/>
        <v>-0.05139999999664724</v>
      </c>
      <c r="I44">
        <f t="shared" si="5"/>
        <v>-0.05139999999664724</v>
      </c>
      <c r="O44">
        <f t="shared" si="3"/>
        <v>-0.02725492342820937</v>
      </c>
      <c r="Q44" s="2">
        <f t="shared" si="4"/>
        <v>23865.055</v>
      </c>
    </row>
    <row r="45" spans="1:17" ht="12.75">
      <c r="A45" s="46" t="s">
        <v>138</v>
      </c>
      <c r="B45" s="50" t="s">
        <v>33</v>
      </c>
      <c r="C45" s="47">
        <v>47013.598</v>
      </c>
      <c r="D45" s="47" t="s">
        <v>53</v>
      </c>
      <c r="E45">
        <f t="shared" si="0"/>
        <v>7649.915278853601</v>
      </c>
      <c r="F45">
        <f t="shared" si="1"/>
        <v>7650</v>
      </c>
      <c r="G45">
        <f t="shared" si="2"/>
        <v>-0.20999999999912689</v>
      </c>
      <c r="I45">
        <f t="shared" si="5"/>
        <v>-0.20999999999912689</v>
      </c>
      <c r="O45">
        <f t="shared" si="3"/>
        <v>-0.2166374321940235</v>
      </c>
      <c r="Q45" s="2">
        <f t="shared" si="4"/>
        <v>31995.097999999998</v>
      </c>
    </row>
    <row r="46" spans="1:31" ht="12.75">
      <c r="A46" t="s">
        <v>29</v>
      </c>
      <c r="C46" s="10">
        <v>50332.514</v>
      </c>
      <c r="D46" s="9">
        <v>0.001</v>
      </c>
      <c r="E46">
        <f t="shared" si="0"/>
        <v>8988.87893751614</v>
      </c>
      <c r="F46">
        <f t="shared" si="1"/>
        <v>8989</v>
      </c>
      <c r="G46">
        <f t="shared" si="2"/>
        <v>-0.30007999999361346</v>
      </c>
      <c r="I46">
        <f t="shared" si="5"/>
        <v>-0.30007999999361346</v>
      </c>
      <c r="O46">
        <f t="shared" si="3"/>
        <v>-0.29394937708348234</v>
      </c>
      <c r="Q46" s="2">
        <f t="shared" si="4"/>
        <v>35314.014</v>
      </c>
      <c r="AA46">
        <v>29</v>
      </c>
      <c r="AC46" t="s">
        <v>28</v>
      </c>
      <c r="AE46" t="s">
        <v>30</v>
      </c>
    </row>
    <row r="47" spans="1:17" ht="12.75">
      <c r="A47" s="46" t="s">
        <v>145</v>
      </c>
      <c r="B47" s="50" t="s">
        <v>33</v>
      </c>
      <c r="C47" s="47">
        <v>50332.5144</v>
      </c>
      <c r="D47" s="47" t="s">
        <v>53</v>
      </c>
      <c r="E47">
        <f t="shared" si="0"/>
        <v>8988.87909888975</v>
      </c>
      <c r="F47">
        <f t="shared" si="1"/>
        <v>8989</v>
      </c>
      <c r="G47">
        <f t="shared" si="2"/>
        <v>-0.29967999999644235</v>
      </c>
      <c r="J47">
        <f>+G47</f>
        <v>-0.29967999999644235</v>
      </c>
      <c r="O47">
        <f t="shared" si="3"/>
        <v>-0.29394937708348234</v>
      </c>
      <c r="Q47" s="2">
        <f t="shared" si="4"/>
        <v>35314.0144</v>
      </c>
    </row>
    <row r="48" spans="1:17" ht="12.75">
      <c r="A48" s="11" t="s">
        <v>32</v>
      </c>
      <c r="B48" s="12" t="s">
        <v>33</v>
      </c>
      <c r="C48" s="11">
        <v>54003.4204</v>
      </c>
      <c r="D48" s="11">
        <v>0.0004</v>
      </c>
      <c r="E48">
        <f t="shared" si="0"/>
        <v>10469.847501936485</v>
      </c>
      <c r="F48">
        <f t="shared" si="1"/>
        <v>10470</v>
      </c>
      <c r="G48">
        <f t="shared" si="2"/>
        <v>-0.3779999999969732</v>
      </c>
      <c r="J48">
        <f>+G48</f>
        <v>-0.3779999999969732</v>
      </c>
      <c r="O48">
        <f t="shared" si="3"/>
        <v>-0.37946019887682714</v>
      </c>
      <c r="Q48" s="2">
        <f t="shared" si="4"/>
        <v>38984.9204</v>
      </c>
    </row>
    <row r="49" spans="1:17" ht="12.75">
      <c r="A49" s="31" t="s">
        <v>41</v>
      </c>
      <c r="B49" s="49"/>
      <c r="C49" s="32">
        <v>55396.4332</v>
      </c>
      <c r="D49" s="32">
        <v>0.0023</v>
      </c>
      <c r="E49">
        <f t="shared" si="0"/>
        <v>11031.836270333075</v>
      </c>
      <c r="F49">
        <f t="shared" si="1"/>
        <v>11032</v>
      </c>
      <c r="G49">
        <f t="shared" si="2"/>
        <v>-0.40583999999944353</v>
      </c>
      <c r="J49">
        <f>+G49</f>
        <v>-0.40583999999944353</v>
      </c>
      <c r="O49">
        <f t="shared" si="3"/>
        <v>-0.4119092750738965</v>
      </c>
      <c r="Q49" s="2">
        <f t="shared" si="4"/>
        <v>40377.9332</v>
      </c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6"/>
  <sheetViews>
    <sheetView zoomScalePageLayoutView="0" workbookViewId="0" topLeftCell="A1">
      <selection activeCell="A13" sqref="A13:D37"/>
    </sheetView>
  </sheetViews>
  <sheetFormatPr defaultColWidth="9.140625" defaultRowHeight="12.75"/>
  <cols>
    <col min="1" max="1" width="19.7109375" style="9" customWidth="1"/>
    <col min="2" max="2" width="4.421875" style="14" customWidth="1"/>
    <col min="3" max="3" width="12.7109375" style="9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9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33" t="s">
        <v>43</v>
      </c>
      <c r="I1" s="34" t="s">
        <v>44</v>
      </c>
      <c r="J1" s="35" t="s">
        <v>45</v>
      </c>
    </row>
    <row r="2" spans="9:10" ht="12.75">
      <c r="I2" s="36" t="s">
        <v>46</v>
      </c>
      <c r="J2" s="37" t="s">
        <v>47</v>
      </c>
    </row>
    <row r="3" spans="1:10" ht="12.75">
      <c r="A3" s="38" t="s">
        <v>48</v>
      </c>
      <c r="I3" s="36" t="s">
        <v>49</v>
      </c>
      <c r="J3" s="37" t="s">
        <v>50</v>
      </c>
    </row>
    <row r="4" spans="9:10" ht="12.75">
      <c r="I4" s="36" t="s">
        <v>51</v>
      </c>
      <c r="J4" s="37" t="s">
        <v>50</v>
      </c>
    </row>
    <row r="5" spans="9:10" ht="13.5" thickBot="1">
      <c r="I5" s="39" t="s">
        <v>52</v>
      </c>
      <c r="J5" s="40" t="s">
        <v>53</v>
      </c>
    </row>
    <row r="10" ht="13.5" thickBot="1"/>
    <row r="11" spans="1:16" ht="12.75" customHeight="1" thickBot="1">
      <c r="A11" s="9" t="str">
        <f aca="true" t="shared" si="0" ref="A11:A37">P11</f>
        <v>BAVM 183 </v>
      </c>
      <c r="B11" s="17" t="str">
        <f aca="true" t="shared" si="1" ref="B11:B37">IF(H11=INT(H11),"I","II")</f>
        <v>I</v>
      </c>
      <c r="C11" s="9">
        <f aca="true" t="shared" si="2" ref="C11:C37">1*G11</f>
        <v>54003.4204</v>
      </c>
      <c r="D11" s="14" t="str">
        <f aca="true" t="shared" si="3" ref="D11:D37">VLOOKUP(F11,I$1:J$5,2,FALSE)</f>
        <v>vis</v>
      </c>
      <c r="E11" s="41">
        <f>VLOOKUP(C11,A!C$21:E$973,3,FALSE)</f>
        <v>10469.847501936485</v>
      </c>
      <c r="F11" s="17" t="s">
        <v>52</v>
      </c>
      <c r="G11" s="14" t="str">
        <f aca="true" t="shared" si="4" ref="G11:G37">MID(I11,3,LEN(I11)-3)</f>
        <v>54003.4204</v>
      </c>
      <c r="H11" s="9">
        <f aca="true" t="shared" si="5" ref="H11:H37">1*K11</f>
        <v>10470</v>
      </c>
      <c r="I11" s="42" t="s">
        <v>146</v>
      </c>
      <c r="J11" s="43" t="s">
        <v>147</v>
      </c>
      <c r="K11" s="42">
        <v>10470</v>
      </c>
      <c r="L11" s="42" t="s">
        <v>148</v>
      </c>
      <c r="M11" s="43" t="s">
        <v>149</v>
      </c>
      <c r="N11" s="43" t="s">
        <v>150</v>
      </c>
      <c r="O11" s="44" t="s">
        <v>151</v>
      </c>
      <c r="P11" s="45" t="s">
        <v>152</v>
      </c>
    </row>
    <row r="12" spans="1:16" ht="12.75" customHeight="1" thickBot="1">
      <c r="A12" s="9" t="str">
        <f t="shared" si="0"/>
        <v>BAVM 215 </v>
      </c>
      <c r="B12" s="17" t="str">
        <f t="shared" si="1"/>
        <v>I</v>
      </c>
      <c r="C12" s="9">
        <f t="shared" si="2"/>
        <v>55396.4332</v>
      </c>
      <c r="D12" s="14" t="str">
        <f t="shared" si="3"/>
        <v>vis</v>
      </c>
      <c r="E12" s="41">
        <f>VLOOKUP(C12,A!C$21:E$973,3,FALSE)</f>
        <v>11031.836270333075</v>
      </c>
      <c r="F12" s="17" t="s">
        <v>52</v>
      </c>
      <c r="G12" s="14" t="str">
        <f t="shared" si="4"/>
        <v>55396.4332</v>
      </c>
      <c r="H12" s="9">
        <f t="shared" si="5"/>
        <v>11032</v>
      </c>
      <c r="I12" s="42" t="s">
        <v>153</v>
      </c>
      <c r="J12" s="43" t="s">
        <v>154</v>
      </c>
      <c r="K12" s="42" t="s">
        <v>155</v>
      </c>
      <c r="L12" s="42" t="s">
        <v>156</v>
      </c>
      <c r="M12" s="43" t="s">
        <v>149</v>
      </c>
      <c r="N12" s="43" t="s">
        <v>150</v>
      </c>
      <c r="O12" s="44" t="s">
        <v>157</v>
      </c>
      <c r="P12" s="45" t="s">
        <v>158</v>
      </c>
    </row>
    <row r="13" spans="1:16" ht="12.75" customHeight="1" thickBot="1">
      <c r="A13" s="9" t="str">
        <f t="shared" si="0"/>
        <v> KVBB 19.49 </v>
      </c>
      <c r="B13" s="17" t="str">
        <f t="shared" si="1"/>
        <v>I</v>
      </c>
      <c r="C13" s="9">
        <f t="shared" si="2"/>
        <v>25498.436</v>
      </c>
      <c r="D13" s="14" t="str">
        <f t="shared" si="3"/>
        <v>vis</v>
      </c>
      <c r="E13" s="41">
        <f>VLOOKUP(C13,A!C$21:E$973,3,FALSE)</f>
        <v>-1030.0332429641094</v>
      </c>
      <c r="F13" s="17" t="s">
        <v>52</v>
      </c>
      <c r="G13" s="14" t="str">
        <f t="shared" si="4"/>
        <v>25498.436</v>
      </c>
      <c r="H13" s="9">
        <f t="shared" si="5"/>
        <v>-1030</v>
      </c>
      <c r="I13" s="42" t="s">
        <v>55</v>
      </c>
      <c r="J13" s="43" t="s">
        <v>56</v>
      </c>
      <c r="K13" s="42">
        <v>-1030</v>
      </c>
      <c r="L13" s="42" t="s">
        <v>57</v>
      </c>
      <c r="M13" s="43" t="s">
        <v>58</v>
      </c>
      <c r="N13" s="43"/>
      <c r="O13" s="44" t="s">
        <v>59</v>
      </c>
      <c r="P13" s="44" t="s">
        <v>60</v>
      </c>
    </row>
    <row r="14" spans="1:16" ht="12.75" customHeight="1" thickBot="1">
      <c r="A14" s="9" t="str">
        <f t="shared" si="0"/>
        <v> KVBB 19.49 </v>
      </c>
      <c r="B14" s="17" t="str">
        <f t="shared" si="1"/>
        <v>I</v>
      </c>
      <c r="C14" s="9">
        <f t="shared" si="2"/>
        <v>25855.358</v>
      </c>
      <c r="D14" s="14" t="str">
        <f t="shared" si="3"/>
        <v>vis</v>
      </c>
      <c r="E14" s="41">
        <f>VLOOKUP(C14,A!C$21:E$973,3,FALSE)</f>
        <v>-886.0387619416466</v>
      </c>
      <c r="F14" s="17" t="s">
        <v>52</v>
      </c>
      <c r="G14" s="14" t="str">
        <f t="shared" si="4"/>
        <v>25855.358</v>
      </c>
      <c r="H14" s="9">
        <f t="shared" si="5"/>
        <v>-886</v>
      </c>
      <c r="I14" s="42" t="s">
        <v>61</v>
      </c>
      <c r="J14" s="43" t="s">
        <v>62</v>
      </c>
      <c r="K14" s="42">
        <v>-886</v>
      </c>
      <c r="L14" s="42" t="s">
        <v>63</v>
      </c>
      <c r="M14" s="43" t="s">
        <v>58</v>
      </c>
      <c r="N14" s="43"/>
      <c r="O14" s="44" t="s">
        <v>59</v>
      </c>
      <c r="P14" s="44" t="s">
        <v>60</v>
      </c>
    </row>
    <row r="15" spans="1:16" ht="12.75" customHeight="1" thickBot="1">
      <c r="A15" s="9" t="str">
        <f t="shared" si="0"/>
        <v> KVBB 19.49 </v>
      </c>
      <c r="B15" s="17" t="str">
        <f t="shared" si="1"/>
        <v>I</v>
      </c>
      <c r="C15" s="9">
        <f t="shared" si="2"/>
        <v>26945.48</v>
      </c>
      <c r="D15" s="14" t="str">
        <f t="shared" si="3"/>
        <v>vis</v>
      </c>
      <c r="E15" s="41">
        <f>VLOOKUP(C15,A!C$21:E$973,3,FALSE)</f>
        <v>-446.24644978053146</v>
      </c>
      <c r="F15" s="17" t="s">
        <v>52</v>
      </c>
      <c r="G15" s="14" t="str">
        <f t="shared" si="4"/>
        <v>26945.480</v>
      </c>
      <c r="H15" s="9">
        <f t="shared" si="5"/>
        <v>-446</v>
      </c>
      <c r="I15" s="42" t="s">
        <v>64</v>
      </c>
      <c r="J15" s="43" t="s">
        <v>65</v>
      </c>
      <c r="K15" s="42">
        <v>-446</v>
      </c>
      <c r="L15" s="42" t="s">
        <v>66</v>
      </c>
      <c r="M15" s="43" t="s">
        <v>58</v>
      </c>
      <c r="N15" s="43"/>
      <c r="O15" s="44" t="s">
        <v>59</v>
      </c>
      <c r="P15" s="44" t="s">
        <v>60</v>
      </c>
    </row>
    <row r="16" spans="1:16" ht="12.75" customHeight="1" thickBot="1">
      <c r="A16" s="9" t="str">
        <f t="shared" si="0"/>
        <v> COVS </v>
      </c>
      <c r="B16" s="17" t="str">
        <f t="shared" si="1"/>
        <v>I</v>
      </c>
      <c r="C16" s="9">
        <f t="shared" si="2"/>
        <v>28051.52</v>
      </c>
      <c r="D16" s="14" t="str">
        <f t="shared" si="3"/>
        <v>vis</v>
      </c>
      <c r="E16" s="41">
        <f>VLOOKUP(C16,A!C$21:E$973,3,FALSE)</f>
        <v>-0.03227472243662384</v>
      </c>
      <c r="F16" s="17" t="s">
        <v>52</v>
      </c>
      <c r="G16" s="14" t="str">
        <f t="shared" si="4"/>
        <v>28051.52</v>
      </c>
      <c r="H16" s="9">
        <f t="shared" si="5"/>
        <v>0</v>
      </c>
      <c r="I16" s="42" t="s">
        <v>67</v>
      </c>
      <c r="J16" s="43" t="s">
        <v>68</v>
      </c>
      <c r="K16" s="42">
        <v>0</v>
      </c>
      <c r="L16" s="42" t="s">
        <v>69</v>
      </c>
      <c r="M16" s="43" t="s">
        <v>70</v>
      </c>
      <c r="N16" s="43"/>
      <c r="O16" s="44" t="s">
        <v>71</v>
      </c>
      <c r="P16" s="44" t="s">
        <v>72</v>
      </c>
    </row>
    <row r="17" spans="1:16" ht="12.75" customHeight="1" thickBot="1">
      <c r="A17" s="9" t="str">
        <f t="shared" si="0"/>
        <v> COVS </v>
      </c>
      <c r="B17" s="17" t="str">
        <f t="shared" si="1"/>
        <v>I</v>
      </c>
      <c r="C17" s="9">
        <f t="shared" si="2"/>
        <v>28066.46</v>
      </c>
      <c r="D17" s="14" t="str">
        <f t="shared" si="3"/>
        <v>vis</v>
      </c>
      <c r="E17" s="41">
        <f>VLOOKUP(C17,A!C$21:E$973,3,FALSE)</f>
        <v>5.995029692744877</v>
      </c>
      <c r="F17" s="17" t="s">
        <v>52</v>
      </c>
      <c r="G17" s="14" t="str">
        <f t="shared" si="4"/>
        <v>28066.46</v>
      </c>
      <c r="H17" s="9">
        <f t="shared" si="5"/>
        <v>6</v>
      </c>
      <c r="I17" s="42" t="s">
        <v>73</v>
      </c>
      <c r="J17" s="43" t="s">
        <v>74</v>
      </c>
      <c r="K17" s="42">
        <v>6</v>
      </c>
      <c r="L17" s="42" t="s">
        <v>75</v>
      </c>
      <c r="M17" s="43" t="s">
        <v>70</v>
      </c>
      <c r="N17" s="43"/>
      <c r="O17" s="44" t="s">
        <v>71</v>
      </c>
      <c r="P17" s="44" t="s">
        <v>72</v>
      </c>
    </row>
    <row r="18" spans="1:16" ht="12.75" customHeight="1" thickBot="1">
      <c r="A18" s="9" t="str">
        <f t="shared" si="0"/>
        <v> COVS </v>
      </c>
      <c r="B18" s="17" t="str">
        <f t="shared" si="1"/>
        <v>I</v>
      </c>
      <c r="C18" s="9">
        <f t="shared" si="2"/>
        <v>28346.56</v>
      </c>
      <c r="D18" s="14" t="str">
        <f t="shared" si="3"/>
        <v>vis</v>
      </c>
      <c r="E18" s="41">
        <f>VLOOKUP(C18,A!C$21:E$973,3,FALSE)</f>
        <v>118.99690162664713</v>
      </c>
      <c r="F18" s="17" t="s">
        <v>52</v>
      </c>
      <c r="G18" s="14" t="str">
        <f t="shared" si="4"/>
        <v>28346.56</v>
      </c>
      <c r="H18" s="9">
        <f t="shared" si="5"/>
        <v>119</v>
      </c>
      <c r="I18" s="42" t="s">
        <v>76</v>
      </c>
      <c r="J18" s="43" t="s">
        <v>77</v>
      </c>
      <c r="K18" s="42">
        <v>119</v>
      </c>
      <c r="L18" s="42" t="s">
        <v>75</v>
      </c>
      <c r="M18" s="43" t="s">
        <v>70</v>
      </c>
      <c r="N18" s="43"/>
      <c r="O18" s="44" t="s">
        <v>71</v>
      </c>
      <c r="P18" s="44" t="s">
        <v>72</v>
      </c>
    </row>
    <row r="19" spans="1:16" ht="12.75" customHeight="1" thickBot="1">
      <c r="A19" s="9" t="str">
        <f t="shared" si="0"/>
        <v> COVS </v>
      </c>
      <c r="B19" s="17" t="str">
        <f t="shared" si="1"/>
        <v>I</v>
      </c>
      <c r="C19" s="9">
        <f t="shared" si="2"/>
        <v>28361.5</v>
      </c>
      <c r="D19" s="14" t="str">
        <f t="shared" si="3"/>
        <v>vis</v>
      </c>
      <c r="E19" s="41">
        <f>VLOOKUP(C19,A!C$21:E$973,3,FALSE)</f>
        <v>125.02420604182862</v>
      </c>
      <c r="F19" s="17" t="s">
        <v>52</v>
      </c>
      <c r="G19" s="14" t="str">
        <f t="shared" si="4"/>
        <v>28361.50</v>
      </c>
      <c r="H19" s="9">
        <f t="shared" si="5"/>
        <v>125</v>
      </c>
      <c r="I19" s="42" t="s">
        <v>78</v>
      </c>
      <c r="J19" s="43" t="s">
        <v>79</v>
      </c>
      <c r="K19" s="42">
        <v>125</v>
      </c>
      <c r="L19" s="42" t="s">
        <v>80</v>
      </c>
      <c r="M19" s="43" t="s">
        <v>70</v>
      </c>
      <c r="N19" s="43"/>
      <c r="O19" s="44" t="s">
        <v>71</v>
      </c>
      <c r="P19" s="44" t="s">
        <v>72</v>
      </c>
    </row>
    <row r="20" spans="1:16" ht="12.75" customHeight="1" thickBot="1">
      <c r="A20" s="9" t="str">
        <f t="shared" si="0"/>
        <v> COVS </v>
      </c>
      <c r="B20" s="17" t="str">
        <f t="shared" si="1"/>
        <v>I</v>
      </c>
      <c r="C20" s="9">
        <f t="shared" si="2"/>
        <v>28366.4</v>
      </c>
      <c r="D20" s="14" t="str">
        <f t="shared" si="3"/>
        <v>vis</v>
      </c>
      <c r="E20" s="41">
        <f>VLOOKUP(C20,A!C$21:E$973,3,FALSE)</f>
        <v>127.00103279111917</v>
      </c>
      <c r="F20" s="17" t="s">
        <v>52</v>
      </c>
      <c r="G20" s="14" t="str">
        <f t="shared" si="4"/>
        <v>28366.40</v>
      </c>
      <c r="H20" s="9">
        <f t="shared" si="5"/>
        <v>127</v>
      </c>
      <c r="I20" s="42" t="s">
        <v>81</v>
      </c>
      <c r="J20" s="43" t="s">
        <v>82</v>
      </c>
      <c r="K20" s="42">
        <v>127</v>
      </c>
      <c r="L20" s="42" t="s">
        <v>83</v>
      </c>
      <c r="M20" s="43" t="s">
        <v>70</v>
      </c>
      <c r="N20" s="43"/>
      <c r="O20" s="44" t="s">
        <v>71</v>
      </c>
      <c r="P20" s="44" t="s">
        <v>72</v>
      </c>
    </row>
    <row r="21" spans="1:16" ht="12.75" customHeight="1" thickBot="1">
      <c r="A21" s="9" t="str">
        <f t="shared" si="0"/>
        <v> COVS </v>
      </c>
      <c r="B21" s="17" t="str">
        <f t="shared" si="1"/>
        <v>I</v>
      </c>
      <c r="C21" s="9">
        <f t="shared" si="2"/>
        <v>28371.32</v>
      </c>
      <c r="D21" s="14" t="str">
        <f t="shared" si="3"/>
        <v>vis</v>
      </c>
      <c r="E21" s="41">
        <f>VLOOKUP(C21,A!C$21:E$973,3,FALSE)</f>
        <v>128.98592822101776</v>
      </c>
      <c r="F21" s="17" t="s">
        <v>52</v>
      </c>
      <c r="G21" s="14" t="str">
        <f t="shared" si="4"/>
        <v>28371.32</v>
      </c>
      <c r="H21" s="9">
        <f t="shared" si="5"/>
        <v>129</v>
      </c>
      <c r="I21" s="42" t="s">
        <v>84</v>
      </c>
      <c r="J21" s="43" t="s">
        <v>85</v>
      </c>
      <c r="K21" s="42">
        <v>129</v>
      </c>
      <c r="L21" s="42" t="s">
        <v>86</v>
      </c>
      <c r="M21" s="43" t="s">
        <v>70</v>
      </c>
      <c r="N21" s="43"/>
      <c r="O21" s="44" t="s">
        <v>71</v>
      </c>
      <c r="P21" s="44" t="s">
        <v>72</v>
      </c>
    </row>
    <row r="22" spans="1:16" ht="12.75" customHeight="1" thickBot="1">
      <c r="A22" s="9" t="str">
        <f t="shared" si="0"/>
        <v> COVS </v>
      </c>
      <c r="B22" s="17" t="str">
        <f t="shared" si="1"/>
        <v>I</v>
      </c>
      <c r="C22" s="9">
        <f t="shared" si="2"/>
        <v>28376.24</v>
      </c>
      <c r="D22" s="14" t="str">
        <f t="shared" si="3"/>
        <v>vis</v>
      </c>
      <c r="E22" s="41">
        <f>VLOOKUP(C22,A!C$21:E$973,3,FALSE)</f>
        <v>130.97082365091782</v>
      </c>
      <c r="F22" s="17" t="s">
        <v>52</v>
      </c>
      <c r="G22" s="14" t="str">
        <f t="shared" si="4"/>
        <v>28376.24</v>
      </c>
      <c r="H22" s="9">
        <f t="shared" si="5"/>
        <v>131</v>
      </c>
      <c r="I22" s="42" t="s">
        <v>87</v>
      </c>
      <c r="J22" s="43" t="s">
        <v>88</v>
      </c>
      <c r="K22" s="42">
        <v>131</v>
      </c>
      <c r="L22" s="42" t="s">
        <v>89</v>
      </c>
      <c r="M22" s="43" t="s">
        <v>70</v>
      </c>
      <c r="N22" s="43"/>
      <c r="O22" s="44" t="s">
        <v>71</v>
      </c>
      <c r="P22" s="44" t="s">
        <v>72</v>
      </c>
    </row>
    <row r="23" spans="1:16" ht="12.75" customHeight="1" thickBot="1">
      <c r="A23" s="9" t="str">
        <f t="shared" si="0"/>
        <v> COVS </v>
      </c>
      <c r="B23" s="17" t="str">
        <f t="shared" si="1"/>
        <v>I</v>
      </c>
      <c r="C23" s="9">
        <f t="shared" si="2"/>
        <v>28525.2</v>
      </c>
      <c r="D23" s="14" t="str">
        <f t="shared" si="3"/>
        <v>vis</v>
      </c>
      <c r="E23" s="41">
        <f>VLOOKUP(C23,A!C$21:E$973,3,FALSE)</f>
        <v>191.06635682933214</v>
      </c>
      <c r="F23" s="17" t="s">
        <v>52</v>
      </c>
      <c r="G23" s="14" t="str">
        <f t="shared" si="4"/>
        <v>28525.20</v>
      </c>
      <c r="H23" s="9">
        <f t="shared" si="5"/>
        <v>191</v>
      </c>
      <c r="I23" s="42" t="s">
        <v>90</v>
      </c>
      <c r="J23" s="43" t="s">
        <v>91</v>
      </c>
      <c r="K23" s="42">
        <v>191</v>
      </c>
      <c r="L23" s="42" t="s">
        <v>92</v>
      </c>
      <c r="M23" s="43" t="s">
        <v>70</v>
      </c>
      <c r="N23" s="43"/>
      <c r="O23" s="44" t="s">
        <v>71</v>
      </c>
      <c r="P23" s="44" t="s">
        <v>72</v>
      </c>
    </row>
    <row r="24" spans="1:16" ht="12.75" customHeight="1" thickBot="1">
      <c r="A24" s="9" t="str">
        <f t="shared" si="0"/>
        <v> COVS </v>
      </c>
      <c r="B24" s="17" t="str">
        <f t="shared" si="1"/>
        <v>I</v>
      </c>
      <c r="C24" s="9">
        <f t="shared" si="2"/>
        <v>28755.52</v>
      </c>
      <c r="D24" s="14" t="str">
        <f t="shared" si="3"/>
        <v>vis</v>
      </c>
      <c r="E24" s="41">
        <f>VLOOKUP(C24,A!C$21:E$973,3,FALSE)</f>
        <v>283.9852827265693</v>
      </c>
      <c r="F24" s="17" t="s">
        <v>52</v>
      </c>
      <c r="G24" s="14" t="str">
        <f t="shared" si="4"/>
        <v>28755.52</v>
      </c>
      <c r="H24" s="9">
        <f t="shared" si="5"/>
        <v>284</v>
      </c>
      <c r="I24" s="42" t="s">
        <v>93</v>
      </c>
      <c r="J24" s="43" t="s">
        <v>94</v>
      </c>
      <c r="K24" s="42">
        <v>284</v>
      </c>
      <c r="L24" s="42" t="s">
        <v>95</v>
      </c>
      <c r="M24" s="43" t="s">
        <v>70</v>
      </c>
      <c r="N24" s="43"/>
      <c r="O24" s="44" t="s">
        <v>71</v>
      </c>
      <c r="P24" s="44" t="s">
        <v>72</v>
      </c>
    </row>
    <row r="25" spans="1:16" ht="12.75" customHeight="1" thickBot="1">
      <c r="A25" s="9" t="str">
        <f t="shared" si="0"/>
        <v> COVS </v>
      </c>
      <c r="B25" s="17" t="str">
        <f t="shared" si="1"/>
        <v>I</v>
      </c>
      <c r="C25" s="9">
        <f t="shared" si="2"/>
        <v>29169.42</v>
      </c>
      <c r="D25" s="14" t="str">
        <f t="shared" si="3"/>
        <v>vis</v>
      </c>
      <c r="E25" s="41">
        <f>VLOOKUP(C25,A!C$21:E$973,3,FALSE)</f>
        <v>450.9666279369996</v>
      </c>
      <c r="F25" s="17" t="s">
        <v>52</v>
      </c>
      <c r="G25" s="14" t="str">
        <f t="shared" si="4"/>
        <v>29169.42</v>
      </c>
      <c r="H25" s="9">
        <f t="shared" si="5"/>
        <v>451</v>
      </c>
      <c r="I25" s="42" t="s">
        <v>96</v>
      </c>
      <c r="J25" s="43" t="s">
        <v>97</v>
      </c>
      <c r="K25" s="42">
        <v>451</v>
      </c>
      <c r="L25" s="42" t="s">
        <v>69</v>
      </c>
      <c r="M25" s="43" t="s">
        <v>70</v>
      </c>
      <c r="N25" s="43"/>
      <c r="O25" s="44" t="s">
        <v>71</v>
      </c>
      <c r="P25" s="44" t="s">
        <v>72</v>
      </c>
    </row>
    <row r="26" spans="1:16" ht="12.75" customHeight="1" thickBot="1">
      <c r="A26" s="9" t="str">
        <f t="shared" si="0"/>
        <v> VSS 1.142 </v>
      </c>
      <c r="B26" s="17" t="str">
        <f t="shared" si="1"/>
        <v>I</v>
      </c>
      <c r="C26" s="9">
        <f t="shared" si="2"/>
        <v>29791.49</v>
      </c>
      <c r="D26" s="14" t="str">
        <f t="shared" si="3"/>
        <v>vis</v>
      </c>
      <c r="E26" s="41">
        <f>VLOOKUP(C26,A!C$21:E$973,3,FALSE)</f>
        <v>701.9308352698179</v>
      </c>
      <c r="F26" s="17" t="s">
        <v>52</v>
      </c>
      <c r="G26" s="14" t="str">
        <f t="shared" si="4"/>
        <v>29791.49</v>
      </c>
      <c r="H26" s="9">
        <f t="shared" si="5"/>
        <v>702</v>
      </c>
      <c r="I26" s="42" t="s">
        <v>98</v>
      </c>
      <c r="J26" s="43" t="s">
        <v>99</v>
      </c>
      <c r="K26" s="42">
        <v>702</v>
      </c>
      <c r="L26" s="42" t="s">
        <v>100</v>
      </c>
      <c r="M26" s="43" t="s">
        <v>58</v>
      </c>
      <c r="N26" s="43"/>
      <c r="O26" s="44" t="s">
        <v>101</v>
      </c>
      <c r="P26" s="44" t="s">
        <v>102</v>
      </c>
    </row>
    <row r="27" spans="1:16" ht="12.75" customHeight="1" thickBot="1">
      <c r="A27" s="9" t="str">
        <f t="shared" si="0"/>
        <v> VSS 1.142 </v>
      </c>
      <c r="B27" s="17" t="str">
        <f t="shared" si="1"/>
        <v>I</v>
      </c>
      <c r="C27" s="9">
        <f t="shared" si="2"/>
        <v>29846.36</v>
      </c>
      <c r="D27" s="14" t="str">
        <f t="shared" si="3"/>
        <v>vis</v>
      </c>
      <c r="E27" s="41">
        <f>VLOOKUP(C27,A!C$21:E$973,3,FALSE)</f>
        <v>724.0672605215603</v>
      </c>
      <c r="F27" s="17" t="s">
        <v>52</v>
      </c>
      <c r="G27" s="14" t="str">
        <f t="shared" si="4"/>
        <v>29846.36</v>
      </c>
      <c r="H27" s="9">
        <f t="shared" si="5"/>
        <v>724</v>
      </c>
      <c r="I27" s="42" t="s">
        <v>103</v>
      </c>
      <c r="J27" s="43" t="s">
        <v>104</v>
      </c>
      <c r="K27" s="42">
        <v>724</v>
      </c>
      <c r="L27" s="42" t="s">
        <v>105</v>
      </c>
      <c r="M27" s="43" t="s">
        <v>58</v>
      </c>
      <c r="N27" s="43"/>
      <c r="O27" s="44" t="s">
        <v>101</v>
      </c>
      <c r="P27" s="44" t="s">
        <v>102</v>
      </c>
    </row>
    <row r="28" spans="1:16" ht="12.75" customHeight="1" thickBot="1">
      <c r="A28" s="9" t="str">
        <f t="shared" si="0"/>
        <v> COVS </v>
      </c>
      <c r="B28" s="17" t="str">
        <f t="shared" si="1"/>
        <v>I</v>
      </c>
      <c r="C28" s="9">
        <f t="shared" si="2"/>
        <v>30168.5</v>
      </c>
      <c r="D28" s="14" t="str">
        <f t="shared" si="3"/>
        <v>vis</v>
      </c>
      <c r="E28" s="41">
        <f>VLOOKUP(C28,A!C$21:E$973,3,FALSE)</f>
        <v>854.0294990963083</v>
      </c>
      <c r="F28" s="17" t="s">
        <v>52</v>
      </c>
      <c r="G28" s="14" t="str">
        <f t="shared" si="4"/>
        <v>30168.50</v>
      </c>
      <c r="H28" s="9">
        <f t="shared" si="5"/>
        <v>854</v>
      </c>
      <c r="I28" s="42" t="s">
        <v>106</v>
      </c>
      <c r="J28" s="43" t="s">
        <v>107</v>
      </c>
      <c r="K28" s="42">
        <v>854</v>
      </c>
      <c r="L28" s="42" t="s">
        <v>108</v>
      </c>
      <c r="M28" s="43" t="s">
        <v>70</v>
      </c>
      <c r="N28" s="43"/>
      <c r="O28" s="44" t="s">
        <v>71</v>
      </c>
      <c r="P28" s="44" t="s">
        <v>72</v>
      </c>
    </row>
    <row r="29" spans="1:16" ht="12.75" customHeight="1" thickBot="1">
      <c r="A29" s="9" t="str">
        <f t="shared" si="0"/>
        <v> VSS 1.142 </v>
      </c>
      <c r="B29" s="17" t="str">
        <f t="shared" si="1"/>
        <v>I</v>
      </c>
      <c r="C29" s="9">
        <f t="shared" si="2"/>
        <v>30612.54</v>
      </c>
      <c r="D29" s="14" t="str">
        <f t="shared" si="3"/>
        <v>vis</v>
      </c>
      <c r="E29" s="41">
        <f>VLOOKUP(C29,A!C$21:E$973,3,FALSE)</f>
        <v>1033.1703459850255</v>
      </c>
      <c r="F29" s="17" t="s">
        <v>52</v>
      </c>
      <c r="G29" s="14" t="str">
        <f t="shared" si="4"/>
        <v>30612.54</v>
      </c>
      <c r="H29" s="9">
        <f t="shared" si="5"/>
        <v>1033</v>
      </c>
      <c r="I29" s="42" t="s">
        <v>109</v>
      </c>
      <c r="J29" s="43" t="s">
        <v>110</v>
      </c>
      <c r="K29" s="42">
        <v>1033</v>
      </c>
      <c r="L29" s="42" t="s">
        <v>111</v>
      </c>
      <c r="M29" s="43" t="s">
        <v>58</v>
      </c>
      <c r="N29" s="43"/>
      <c r="O29" s="44" t="s">
        <v>101</v>
      </c>
      <c r="P29" s="44" t="s">
        <v>102</v>
      </c>
    </row>
    <row r="30" spans="1:16" ht="12.75" customHeight="1" thickBot="1">
      <c r="A30" s="9" t="str">
        <f t="shared" si="0"/>
        <v> VSS 1.142 </v>
      </c>
      <c r="B30" s="17" t="str">
        <f t="shared" si="1"/>
        <v>I</v>
      </c>
      <c r="C30" s="9">
        <f t="shared" si="2"/>
        <v>30614.54</v>
      </c>
      <c r="D30" s="14" t="str">
        <f t="shared" si="3"/>
        <v>vis</v>
      </c>
      <c r="E30" s="41">
        <f>VLOOKUP(C30,A!C$21:E$973,3,FALSE)</f>
        <v>1033.9772140459602</v>
      </c>
      <c r="F30" s="17" t="s">
        <v>52</v>
      </c>
      <c r="G30" s="14" t="str">
        <f t="shared" si="4"/>
        <v>30614.54</v>
      </c>
      <c r="H30" s="9">
        <f t="shared" si="5"/>
        <v>1034</v>
      </c>
      <c r="I30" s="42" t="s">
        <v>112</v>
      </c>
      <c r="J30" s="43" t="s">
        <v>113</v>
      </c>
      <c r="K30" s="42">
        <v>1034</v>
      </c>
      <c r="L30" s="42" t="s">
        <v>114</v>
      </c>
      <c r="M30" s="43" t="s">
        <v>58</v>
      </c>
      <c r="N30" s="43"/>
      <c r="O30" s="44" t="s">
        <v>101</v>
      </c>
      <c r="P30" s="44" t="s">
        <v>102</v>
      </c>
    </row>
    <row r="31" spans="1:16" ht="12.75" customHeight="1" thickBot="1">
      <c r="A31" s="9" t="str">
        <f t="shared" si="0"/>
        <v> VSS 1.142 </v>
      </c>
      <c r="B31" s="17" t="str">
        <f t="shared" si="1"/>
        <v>I</v>
      </c>
      <c r="C31" s="9">
        <f t="shared" si="2"/>
        <v>30619.53</v>
      </c>
      <c r="D31" s="14" t="str">
        <f t="shared" si="3"/>
        <v>vis</v>
      </c>
      <c r="E31" s="41">
        <f>VLOOKUP(C31,A!C$21:E$973,3,FALSE)</f>
        <v>1035.9903498579913</v>
      </c>
      <c r="F31" s="17" t="s">
        <v>52</v>
      </c>
      <c r="G31" s="14" t="str">
        <f t="shared" si="4"/>
        <v>30619.53</v>
      </c>
      <c r="H31" s="9">
        <f t="shared" si="5"/>
        <v>1036</v>
      </c>
      <c r="I31" s="42" t="s">
        <v>115</v>
      </c>
      <c r="J31" s="43" t="s">
        <v>116</v>
      </c>
      <c r="K31" s="42">
        <v>1036</v>
      </c>
      <c r="L31" s="42" t="s">
        <v>117</v>
      </c>
      <c r="M31" s="43" t="s">
        <v>58</v>
      </c>
      <c r="N31" s="43"/>
      <c r="O31" s="44" t="s">
        <v>101</v>
      </c>
      <c r="P31" s="44" t="s">
        <v>102</v>
      </c>
    </row>
    <row r="32" spans="1:16" ht="12.75" customHeight="1" thickBot="1">
      <c r="A32" s="9" t="str">
        <f t="shared" si="0"/>
        <v> MVS 3.155 </v>
      </c>
      <c r="B32" s="17" t="str">
        <f t="shared" si="1"/>
        <v>I</v>
      </c>
      <c r="C32" s="9">
        <f t="shared" si="2"/>
        <v>37438.528</v>
      </c>
      <c r="D32" s="14" t="str">
        <f t="shared" si="3"/>
        <v>vis</v>
      </c>
      <c r="E32" s="41">
        <f>VLOOKUP(C32,A!C$21:E$973,3,FALSE)</f>
        <v>3787.0061967467077</v>
      </c>
      <c r="F32" s="17" t="s">
        <v>52</v>
      </c>
      <c r="G32" s="14" t="str">
        <f t="shared" si="4"/>
        <v>37438.528</v>
      </c>
      <c r="H32" s="9">
        <f t="shared" si="5"/>
        <v>3787</v>
      </c>
      <c r="I32" s="42" t="s">
        <v>118</v>
      </c>
      <c r="J32" s="43" t="s">
        <v>119</v>
      </c>
      <c r="K32" s="42">
        <v>3787</v>
      </c>
      <c r="L32" s="42" t="s">
        <v>120</v>
      </c>
      <c r="M32" s="43" t="s">
        <v>58</v>
      </c>
      <c r="N32" s="43"/>
      <c r="O32" s="44" t="s">
        <v>121</v>
      </c>
      <c r="P32" s="44" t="s">
        <v>122</v>
      </c>
    </row>
    <row r="33" spans="1:16" ht="12.75" customHeight="1" thickBot="1">
      <c r="A33" s="9" t="str">
        <f t="shared" si="0"/>
        <v> MVS 3.155 </v>
      </c>
      <c r="B33" s="17" t="str">
        <f t="shared" si="1"/>
        <v>I</v>
      </c>
      <c r="C33" s="9">
        <f t="shared" si="2"/>
        <v>37909.494</v>
      </c>
      <c r="D33" s="14" t="str">
        <f t="shared" si="3"/>
        <v>vis</v>
      </c>
      <c r="E33" s="41">
        <f>VLOOKUP(C33,A!C$21:E$973,3,FALSE)</f>
        <v>3977.009908339788</v>
      </c>
      <c r="F33" s="17" t="s">
        <v>52</v>
      </c>
      <c r="G33" s="14" t="str">
        <f t="shared" si="4"/>
        <v>37909.494</v>
      </c>
      <c r="H33" s="9">
        <f t="shared" si="5"/>
        <v>3977</v>
      </c>
      <c r="I33" s="42" t="s">
        <v>123</v>
      </c>
      <c r="J33" s="43" t="s">
        <v>124</v>
      </c>
      <c r="K33" s="42">
        <v>3977</v>
      </c>
      <c r="L33" s="42" t="s">
        <v>125</v>
      </c>
      <c r="M33" s="43" t="s">
        <v>58</v>
      </c>
      <c r="N33" s="43"/>
      <c r="O33" s="44" t="s">
        <v>121</v>
      </c>
      <c r="P33" s="44" t="s">
        <v>122</v>
      </c>
    </row>
    <row r="34" spans="1:16" ht="12.75" customHeight="1" thickBot="1">
      <c r="A34" s="9" t="str">
        <f t="shared" si="0"/>
        <v> AC 1162.6 </v>
      </c>
      <c r="B34" s="17" t="str">
        <f t="shared" si="1"/>
        <v>I</v>
      </c>
      <c r="C34" s="9">
        <f t="shared" si="2"/>
        <v>38831.511</v>
      </c>
      <c r="D34" s="14" t="str">
        <f t="shared" si="3"/>
        <v>vis</v>
      </c>
      <c r="E34" s="41">
        <f>VLOOKUP(C34,A!C$21:E$973,3,FALSE)</f>
        <v>4348.982942809192</v>
      </c>
      <c r="F34" s="17" t="s">
        <v>52</v>
      </c>
      <c r="G34" s="14" t="str">
        <f t="shared" si="4"/>
        <v>38831.511</v>
      </c>
      <c r="H34" s="9">
        <f t="shared" si="5"/>
        <v>4349</v>
      </c>
      <c r="I34" s="42" t="s">
        <v>126</v>
      </c>
      <c r="J34" s="43" t="s">
        <v>127</v>
      </c>
      <c r="K34" s="42">
        <v>4349</v>
      </c>
      <c r="L34" s="42" t="s">
        <v>128</v>
      </c>
      <c r="M34" s="43" t="s">
        <v>54</v>
      </c>
      <c r="N34" s="43"/>
      <c r="O34" s="44" t="s">
        <v>129</v>
      </c>
      <c r="P34" s="44" t="s">
        <v>130</v>
      </c>
    </row>
    <row r="35" spans="1:16" ht="12.75" customHeight="1" thickBot="1">
      <c r="A35" s="9" t="str">
        <f t="shared" si="0"/>
        <v> MVS 3.155 </v>
      </c>
      <c r="B35" s="17" t="str">
        <f t="shared" si="1"/>
        <v>I</v>
      </c>
      <c r="C35" s="9">
        <f t="shared" si="2"/>
        <v>38883.555</v>
      </c>
      <c r="D35" s="14" t="str">
        <f t="shared" si="3"/>
        <v>vis</v>
      </c>
      <c r="E35" s="41">
        <f>VLOOKUP(C35,A!C$21:E$973,3,FALSE)</f>
        <v>4369.9792634908345</v>
      </c>
      <c r="F35" s="17" t="s">
        <v>52</v>
      </c>
      <c r="G35" s="14" t="str">
        <f t="shared" si="4"/>
        <v>38883.555</v>
      </c>
      <c r="H35" s="9">
        <f t="shared" si="5"/>
        <v>4370</v>
      </c>
      <c r="I35" s="42" t="s">
        <v>131</v>
      </c>
      <c r="J35" s="43" t="s">
        <v>132</v>
      </c>
      <c r="K35" s="42">
        <v>4370</v>
      </c>
      <c r="L35" s="42" t="s">
        <v>133</v>
      </c>
      <c r="M35" s="43" t="s">
        <v>58</v>
      </c>
      <c r="N35" s="43"/>
      <c r="O35" s="44" t="s">
        <v>121</v>
      </c>
      <c r="P35" s="44" t="s">
        <v>122</v>
      </c>
    </row>
    <row r="36" spans="1:16" ht="12.75" customHeight="1" thickBot="1">
      <c r="A36" s="9" t="str">
        <f t="shared" si="0"/>
        <v> BRNO 30 </v>
      </c>
      <c r="B36" s="17" t="str">
        <f t="shared" si="1"/>
        <v>I</v>
      </c>
      <c r="C36" s="9">
        <f t="shared" si="2"/>
        <v>47013.598</v>
      </c>
      <c r="D36" s="14" t="str">
        <f t="shared" si="3"/>
        <v>vis</v>
      </c>
      <c r="E36" s="41">
        <f>VLOOKUP(C36,A!C$21:E$973,3,FALSE)</f>
        <v>7649.915278853601</v>
      </c>
      <c r="F36" s="17" t="s">
        <v>52</v>
      </c>
      <c r="G36" s="14" t="str">
        <f t="shared" si="4"/>
        <v>47013.598</v>
      </c>
      <c r="H36" s="9">
        <f t="shared" si="5"/>
        <v>7650</v>
      </c>
      <c r="I36" s="42" t="s">
        <v>134</v>
      </c>
      <c r="J36" s="43" t="s">
        <v>135</v>
      </c>
      <c r="K36" s="42">
        <v>7650</v>
      </c>
      <c r="L36" s="42" t="s">
        <v>136</v>
      </c>
      <c r="M36" s="43" t="s">
        <v>70</v>
      </c>
      <c r="N36" s="43"/>
      <c r="O36" s="44" t="s">
        <v>137</v>
      </c>
      <c r="P36" s="44" t="s">
        <v>138</v>
      </c>
    </row>
    <row r="37" spans="1:16" ht="12.75" customHeight="1" thickBot="1">
      <c r="A37" s="9" t="str">
        <f t="shared" si="0"/>
        <v> BBS 113 </v>
      </c>
      <c r="B37" s="17" t="str">
        <f t="shared" si="1"/>
        <v>I</v>
      </c>
      <c r="C37" s="9">
        <f t="shared" si="2"/>
        <v>50332.5144</v>
      </c>
      <c r="D37" s="14" t="str">
        <f t="shared" si="3"/>
        <v>vis</v>
      </c>
      <c r="E37" s="41">
        <f>VLOOKUP(C37,A!C$21:E$973,3,FALSE)</f>
        <v>8988.87909888975</v>
      </c>
      <c r="F37" s="17" t="s">
        <v>52</v>
      </c>
      <c r="G37" s="14" t="str">
        <f t="shared" si="4"/>
        <v>50332.5144</v>
      </c>
      <c r="H37" s="9">
        <f t="shared" si="5"/>
        <v>8989</v>
      </c>
      <c r="I37" s="42" t="s">
        <v>139</v>
      </c>
      <c r="J37" s="43" t="s">
        <v>140</v>
      </c>
      <c r="K37" s="42">
        <v>8989</v>
      </c>
      <c r="L37" s="42" t="s">
        <v>141</v>
      </c>
      <c r="M37" s="43" t="s">
        <v>142</v>
      </c>
      <c r="N37" s="43" t="s">
        <v>143</v>
      </c>
      <c r="O37" s="44" t="s">
        <v>144</v>
      </c>
      <c r="P37" s="44" t="s">
        <v>145</v>
      </c>
    </row>
    <row r="38" spans="2:6" ht="12.75">
      <c r="B38" s="17"/>
      <c r="F38" s="17"/>
    </row>
    <row r="39" spans="2:6" ht="12.75">
      <c r="B39" s="17"/>
      <c r="F39" s="17"/>
    </row>
    <row r="40" spans="2:6" ht="12.75">
      <c r="B40" s="17"/>
      <c r="F40" s="17"/>
    </row>
    <row r="41" spans="2:6" ht="12.75">
      <c r="B41" s="17"/>
      <c r="F41" s="17"/>
    </row>
    <row r="42" spans="2:6" ht="12.75">
      <c r="B42" s="17"/>
      <c r="F42" s="17"/>
    </row>
    <row r="43" spans="2:6" ht="12.75">
      <c r="B43" s="17"/>
      <c r="F43" s="17"/>
    </row>
    <row r="44" spans="2:6" ht="12.75">
      <c r="B44" s="17"/>
      <c r="F44" s="17"/>
    </row>
    <row r="45" spans="2:6" ht="12.75">
      <c r="B45" s="17"/>
      <c r="F45" s="17"/>
    </row>
    <row r="46" spans="2:6" ht="12.75">
      <c r="B46" s="17"/>
      <c r="F46" s="17"/>
    </row>
    <row r="47" spans="2:6" ht="12.75">
      <c r="B47" s="17"/>
      <c r="F47" s="17"/>
    </row>
    <row r="48" spans="2:6" ht="12.75">
      <c r="B48" s="17"/>
      <c r="F48" s="17"/>
    </row>
    <row r="49" spans="2:6" ht="12.75">
      <c r="B49" s="17"/>
      <c r="F49" s="17"/>
    </row>
    <row r="50" spans="2:6" ht="12.75">
      <c r="B50" s="17"/>
      <c r="F50" s="17"/>
    </row>
    <row r="51" spans="2:6" ht="12.75">
      <c r="B51" s="17"/>
      <c r="F51" s="17"/>
    </row>
    <row r="52" spans="2:6" ht="12.75">
      <c r="B52" s="17"/>
      <c r="F52" s="17"/>
    </row>
    <row r="53" spans="2:6" ht="12.75">
      <c r="B53" s="17"/>
      <c r="F53" s="17"/>
    </row>
    <row r="54" spans="2:6" ht="12.75">
      <c r="B54" s="17"/>
      <c r="F54" s="17"/>
    </row>
    <row r="55" spans="2:6" ht="12.75">
      <c r="B55" s="17"/>
      <c r="F55" s="17"/>
    </row>
    <row r="56" spans="2:6" ht="12.75">
      <c r="B56" s="17"/>
      <c r="F56" s="17"/>
    </row>
    <row r="57" spans="2:6" ht="12.75">
      <c r="B57" s="17"/>
      <c r="F57" s="17"/>
    </row>
    <row r="58" spans="2:6" ht="12.75">
      <c r="B58" s="17"/>
      <c r="F58" s="17"/>
    </row>
    <row r="59" spans="2:6" ht="12.75">
      <c r="B59" s="17"/>
      <c r="F59" s="17"/>
    </row>
    <row r="60" spans="2:6" ht="12.75">
      <c r="B60" s="17"/>
      <c r="F60" s="17"/>
    </row>
    <row r="61" spans="2:6" ht="12.75">
      <c r="B61" s="17"/>
      <c r="F61" s="17"/>
    </row>
    <row r="62" spans="2:6" ht="12.75">
      <c r="B62" s="17"/>
      <c r="F62" s="17"/>
    </row>
    <row r="63" spans="2:6" ht="12.75">
      <c r="B63" s="17"/>
      <c r="F63" s="17"/>
    </row>
    <row r="64" spans="2:6" ht="12.75">
      <c r="B64" s="17"/>
      <c r="F64" s="17"/>
    </row>
    <row r="65" spans="2:6" ht="12.75">
      <c r="B65" s="17"/>
      <c r="F65" s="17"/>
    </row>
    <row r="66" spans="2:6" ht="12.75">
      <c r="B66" s="17"/>
      <c r="F66" s="17"/>
    </row>
    <row r="67" spans="2:6" ht="12.75">
      <c r="B67" s="17"/>
      <c r="F67" s="17"/>
    </row>
    <row r="68" spans="2:6" ht="12.75">
      <c r="B68" s="17"/>
      <c r="F68" s="17"/>
    </row>
    <row r="69" spans="2:6" ht="12.75">
      <c r="B69" s="17"/>
      <c r="F69" s="17"/>
    </row>
    <row r="70" spans="2:6" ht="12.75">
      <c r="B70" s="17"/>
      <c r="F70" s="17"/>
    </row>
    <row r="71" spans="2:6" ht="12.75">
      <c r="B71" s="17"/>
      <c r="F71" s="17"/>
    </row>
    <row r="72" spans="2:6" ht="12.75">
      <c r="B72" s="17"/>
      <c r="F72" s="17"/>
    </row>
    <row r="73" spans="2:6" ht="12.75">
      <c r="B73" s="17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</sheetData>
  <sheetProtection/>
  <hyperlinks>
    <hyperlink ref="P11" r:id="rId1" display="http://www.bav-astro.de/sfs/BAVM_link.php?BAVMnr=183"/>
    <hyperlink ref="P12" r:id="rId2" display="http://www.bav-astro.de/sfs/BAVM_link.php?BAVMnr=21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