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9030" windowHeight="140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<sst xmlns="http://schemas.openxmlformats.org/spreadsheetml/2006/main" count="307" uniqueCount="141">
  <si>
    <t>OEJV 0191</t>
  </si>
  <si>
    <t>II</t>
  </si>
  <si>
    <t>IBVS 6196</t>
  </si>
  <si>
    <t>0.0140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</si>
  <si>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</si>
  <si>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</si>
  <si>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</si>
  <si>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</si>
  <si>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</si>
  <si>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</si>
  <si>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</si>
  <si>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</si>
  <si>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</si>
  <si>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</si>
  <si>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</si>
  <si>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</si>
  <si>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</si>
  <si>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</si>
  <si>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</si>
  <si>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</si>
  <si>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</si>
  <si>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</si>
  <si>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</si>
  <si>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</si>
  <si>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</si>
  <si>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</si>
  <si>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</si>
  <si>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</si>
  <si>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</si>
  <si>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</si>
  <si>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</si>
  <si>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</si>
  <si>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</si>
  <si>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</si>
  <si>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</si>
  <si>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</si>
  <si>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</si>
  <si>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</si>
  <si>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</si>
  <si>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</si>
  <si>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BY Del / GSC 1082-0268               </t>
  </si>
  <si>
    <t>EA/DM</t>
  </si>
  <si>
    <t>IBVS 5761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</si>
  <si>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</si>
  <si>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</si>
  <si>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</si>
  <si>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</si>
  <si>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</si>
  <si>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</si>
  <si>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</si>
  <si>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</si>
  <si>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</si>
  <si>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</si>
  <si>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</si>
  <si>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2425830.41 </t>
  </si>
  <si>
    <t> 06.08.1929 21:50 </t>
  </si>
  <si>
    <t> 0.07 </t>
  </si>
  <si>
    <t>P </t>
  </si>
  <si>
    <t> C.Hoffmeister </t>
  </si>
  <si>
    <t> VSS 1.153 </t>
  </si>
  <si>
    <t>2425855.36 </t>
  </si>
  <si>
    <t> 31.08.1929 20:38 </t>
  </si>
  <si>
    <t> -0.07 </t>
  </si>
  <si>
    <t>2425865.46 </t>
  </si>
  <si>
    <t> 10.09.1929 23:02 </t>
  </si>
  <si>
    <t> 0.00 </t>
  </si>
  <si>
    <t>2427927.54 </t>
  </si>
  <si>
    <t> 05.05.1935 00:57 </t>
  </si>
  <si>
    <t> 0.04 </t>
  </si>
  <si>
    <t>2428429.33 </t>
  </si>
  <si>
    <t> 17.09.1936 19:55 </t>
  </si>
  <si>
    <t> 0.12 </t>
  </si>
  <si>
    <t>2428750.44 </t>
  </si>
  <si>
    <t> 04.08.1937 22:33 </t>
  </si>
  <si>
    <t> 0.13 </t>
  </si>
  <si>
    <t>2436085.467 </t>
  </si>
  <si>
    <t> 03.09.1957 23:12 </t>
  </si>
  <si>
    <t> 0.113 </t>
  </si>
  <si>
    <t> H.Busch </t>
  </si>
  <si>
    <t> MHAR 1 </t>
  </si>
  <si>
    <t>2436436.502 </t>
  </si>
  <si>
    <t> 21.08.1958 00:02 </t>
  </si>
  <si>
    <t> -0.051 </t>
  </si>
  <si>
    <t>2436868.257 </t>
  </si>
  <si>
    <t> 26.10.1959 18:10 </t>
  </si>
  <si>
    <t> 0.231 </t>
  </si>
  <si>
    <t> HABZ 7 </t>
  </si>
  <si>
    <t>2436868.301 </t>
  </si>
  <si>
    <t> 26.10.1959 19:13 </t>
  </si>
  <si>
    <t> 0.275 </t>
  </si>
  <si>
    <t>2436868.341 </t>
  </si>
  <si>
    <t> 26.10.1959 20:11 </t>
  </si>
  <si>
    <t> 0.315 </t>
  </si>
  <si>
    <t>2437249.299 </t>
  </si>
  <si>
    <t> 10.11.1960 19:10 </t>
  </si>
  <si>
    <t> -0.029 </t>
  </si>
  <si>
    <t>2437545.348 </t>
  </si>
  <si>
    <t> 02.09.1961 20:21 </t>
  </si>
  <si>
    <t> 0.009 </t>
  </si>
  <si>
    <t>2437560.406 </t>
  </si>
  <si>
    <t> 17.09.1961 21:44 </t>
  </si>
  <si>
    <t> 0.016 </t>
  </si>
  <si>
    <t>2437575.399 </t>
  </si>
  <si>
    <t> 02.10.1961 21:34 </t>
  </si>
  <si>
    <t> -0.042 </t>
  </si>
  <si>
    <t>2437871.492 </t>
  </si>
  <si>
    <t> 25.07.1962 23:48 </t>
  </si>
  <si>
    <t> 0.040 </t>
  </si>
  <si>
    <t>2437876.495 </t>
  </si>
  <si>
    <t> 30.07.1962 23:52 </t>
  </si>
  <si>
    <t> 0.026 </t>
  </si>
  <si>
    <t>2437886.491 </t>
  </si>
  <si>
    <t> 09.08.1962 23:47 </t>
  </si>
  <si>
    <t> -0.012 </t>
  </si>
  <si>
    <t>2437911.453 </t>
  </si>
  <si>
    <t> 03.09.1962 22:52 </t>
  </si>
  <si>
    <t> -0.136 </t>
  </si>
  <si>
    <t>2438232.534 </t>
  </si>
  <si>
    <t> 22.07.1963 00:48 </t>
  </si>
  <si>
    <t> -0.151 </t>
  </si>
  <si>
    <t>2439025.363 </t>
  </si>
  <si>
    <t> 21.09.1965 20:42 </t>
  </si>
  <si>
    <t>2453991.3364 </t>
  </si>
  <si>
    <t> 12.09.2006 20:04 </t>
  </si>
  <si>
    <t> -0.1543 </t>
  </si>
  <si>
    <t>C </t>
  </si>
  <si>
    <t>-I</t>
  </si>
  <si>
    <t> F.Agerer </t>
  </si>
  <si>
    <t>BAVM 193 </t>
  </si>
  <si>
    <t>2454001.3687 </t>
  </si>
  <si>
    <t> 22.09.2006 20:50 </t>
  </si>
  <si>
    <t>5615</t>
  </si>
  <si>
    <t> -0.1562 </t>
  </si>
  <si>
    <t> F. Agerer </t>
  </si>
  <si>
    <t>BAVM 183 </t>
  </si>
  <si>
    <t>2454327.5372 </t>
  </si>
  <si>
    <t> 15.08.2007 00:53 </t>
  </si>
  <si>
    <t>5680</t>
  </si>
  <si>
    <t> -0.1012 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</si>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</sst>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8" fillId="0" borderId="0" xfId="62" applyFont="1" applyAlignment="1">
      <alignment horizontal="left"/>
      <protection/>
    </xf>
    <xf numFmtId="0" fontId="13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0.02</c:v>
                  </c:pt>
                  <c:pt idx="27">
                    <c:v>0.02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14813160"/>
        <c:axId val="66871497"/>
      </c:scatterChart>
      <c:valAx>
        <c:axId val="1481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1497"/>
        <c:crosses val="autoZero"/>
        <c:crossBetween val="midCat"/>
        <c:dispUnits/>
      </c:valAx>
      <c:valAx>
        <c:axId val="6687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31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196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Relationship Id="rId2" Type="http://schemas.openxmlformats.org/officeDocument/2006/relationships/hyperlink" Target="http://www.bav-astro.de/sfs/BAVM_link.php?BAVMnr=183" TargetMode="External" /><Relationship Id="rId3" Type="http://schemas.openxmlformats.org/officeDocument/2006/relationships/hyperlink" Target="http://www.bav-astro.de/sfs/BAVM_link.php?BAVMnr=1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3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26</v>
      </c>
      <c r="B2" s="3" t="s">
        <v>41</v>
      </c>
      <c r="C2" s="3"/>
      <c r="D2" s="3"/>
    </row>
    <row r="3" ht="13.5" thickBot="1"/>
    <row r="4" spans="1:4" ht="14.25" thickBot="1" thickTop="1">
      <c r="A4" s="5" t="s">
        <v>39</v>
      </c>
      <c r="C4" s="8">
        <v>52501.31</v>
      </c>
      <c r="D4" s="9">
        <v>10.03421</v>
      </c>
    </row>
    <row r="5" spans="1:4" ht="13.5" thickTop="1">
      <c r="A5" s="11" t="s">
        <v>31</v>
      </c>
      <c r="B5" s="47"/>
      <c r="C5" s="13">
        <v>-9.5</v>
      </c>
      <c r="D5" s="12" t="s">
        <v>32</v>
      </c>
    </row>
    <row r="6" ht="12.75">
      <c r="A6" s="5" t="s">
        <v>4</v>
      </c>
    </row>
    <row r="7" spans="1:3" ht="12.75">
      <c r="A7" t="s">
        <v>5</v>
      </c>
      <c r="C7">
        <f>C4</f>
        <v>52501.31</v>
      </c>
    </row>
    <row r="8" spans="1:4" ht="12.75">
      <c r="A8" t="s">
        <v>6</v>
      </c>
      <c r="C8">
        <f>D4</f>
        <v>10.03421</v>
      </c>
      <c r="D8" s="29"/>
    </row>
    <row r="9" spans="1:4" ht="12.75">
      <c r="A9" s="26" t="s">
        <v>36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47"/>
      <c r="C10" s="4" t="s">
        <v>22</v>
      </c>
      <c r="D10" s="4" t="s">
        <v>23</v>
      </c>
      <c r="E10" s="12"/>
    </row>
    <row r="11" spans="1:5" ht="12.75">
      <c r="A11" s="12" t="s">
        <v>18</v>
      </c>
      <c r="B11" s="47"/>
      <c r="C11" s="23">
        <f ca="1">INTERCEPT(INDIRECT($D$9):G975,INDIRECT($C$9):F975)</f>
        <v>-9.230817280694512E-05</v>
      </c>
      <c r="D11" s="3"/>
      <c r="E11" s="12"/>
    </row>
    <row r="12" spans="1:5" ht="12.75">
      <c r="A12" s="12" t="s">
        <v>19</v>
      </c>
      <c r="B12" s="47"/>
      <c r="C12" s="23">
        <f ca="1">SLOPE(INDIRECT($D$9):G975,INDIRECT($C$9):F975)</f>
        <v>-2.1576024013449E-05</v>
      </c>
      <c r="D12" s="3"/>
      <c r="E12" s="12"/>
    </row>
    <row r="13" spans="1:3" ht="12.75">
      <c r="A13" s="12" t="s">
        <v>21</v>
      </c>
      <c r="B13" s="47"/>
      <c r="C13" s="3" t="s">
        <v>16</v>
      </c>
    </row>
    <row r="14" spans="1:3" ht="12.75">
      <c r="A14" s="12"/>
      <c r="B14" s="47"/>
      <c r="C14" s="12"/>
    </row>
    <row r="15" spans="1:6" ht="12.75">
      <c r="A15" s="14" t="s">
        <v>20</v>
      </c>
      <c r="B15" s="47"/>
      <c r="C15" s="15">
        <f>(C7+C11)+(C8+C12)*INT(MAX(F21:F3516))</f>
        <v>57919.771656638855</v>
      </c>
      <c r="E15" s="16" t="s">
        <v>139</v>
      </c>
      <c r="F15" s="13">
        <v>1</v>
      </c>
    </row>
    <row r="16" spans="1:6" ht="12.75">
      <c r="A16" s="18" t="s">
        <v>7</v>
      </c>
      <c r="B16" s="47"/>
      <c r="C16" s="19">
        <f>+C8+C12</f>
        <v>10.034188423975987</v>
      </c>
      <c r="E16" s="16" t="s">
        <v>33</v>
      </c>
      <c r="F16" s="17">
        <f ca="1">NOW()+15018.5+$C$5/24</f>
        <v>59897.75332372685</v>
      </c>
    </row>
    <row r="17" spans="1:6" ht="13.5" thickBot="1">
      <c r="A17" s="16" t="s">
        <v>30</v>
      </c>
      <c r="B17" s="47"/>
      <c r="C17" s="12">
        <f>COUNT(C21:C2174)</f>
        <v>28</v>
      </c>
      <c r="E17" s="16" t="s">
        <v>140</v>
      </c>
      <c r="F17" s="17">
        <f>ROUND(2*(F16-$C$7)/$C$8,0)/2+F15</f>
        <v>738</v>
      </c>
    </row>
    <row r="18" spans="1:6" ht="14.25" thickBot="1" thickTop="1">
      <c r="A18" s="18" t="s">
        <v>8</v>
      </c>
      <c r="B18" s="47"/>
      <c r="C18" s="21">
        <f>+C15</f>
        <v>57919.771656638855</v>
      </c>
      <c r="D18" s="22">
        <f>+C16</f>
        <v>10.034188423975987</v>
      </c>
      <c r="E18" s="16" t="s">
        <v>34</v>
      </c>
      <c r="F18" s="25">
        <f>ROUND(2*(F16-$C$15)/$C$16,0)/2+F15</f>
        <v>198</v>
      </c>
    </row>
    <row r="19" spans="5:6" ht="13.5" thickTop="1">
      <c r="E19" s="16" t="s">
        <v>35</v>
      </c>
      <c r="F19" s="20">
        <f>+$C$15+$C$16*F18-15018.5-$C$5/24</f>
        <v>44888.436797919436</v>
      </c>
    </row>
    <row r="20" spans="1:17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50</v>
      </c>
      <c r="I20" s="7" t="s">
        <v>53</v>
      </c>
      <c r="J20" s="7" t="s">
        <v>47</v>
      </c>
      <c r="K20" s="7" t="s">
        <v>45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</row>
    <row r="21" spans="1:17" ht="12.75">
      <c r="A21" s="45" t="s">
        <v>59</v>
      </c>
      <c r="B21" s="48" t="s">
        <v>37</v>
      </c>
      <c r="C21" s="46">
        <v>25830.41</v>
      </c>
      <c r="D21" s="46" t="s">
        <v>53</v>
      </c>
      <c r="E21">
        <f aca="true" t="shared" si="0" ref="E21:E45">+(C21-C$7)/C$8</f>
        <v>-2657.996992289378</v>
      </c>
      <c r="F21">
        <f aca="true" t="shared" si="1" ref="F21:F48">ROUND(2*E21,0)/2</f>
        <v>-2658</v>
      </c>
      <c r="G21">
        <f aca="true" t="shared" si="2" ref="G21:G45">+C21-(C$7+F21*C$8)</f>
        <v>0.030180000001564622</v>
      </c>
      <c r="I21">
        <f aca="true" t="shared" si="3" ref="I21:I41">+G21</f>
        <v>0.030180000001564622</v>
      </c>
      <c r="O21">
        <f aca="true" t="shared" si="4" ref="O21:O45">+C$11+C$12*$F21</f>
        <v>0.05725676365494049</v>
      </c>
      <c r="Q21" s="2">
        <f aca="true" t="shared" si="5" ref="Q21:Q45">+C21-15018.5</f>
        <v>10811.91</v>
      </c>
    </row>
    <row r="22" spans="1:17" ht="12.75">
      <c r="A22" s="45" t="s">
        <v>59</v>
      </c>
      <c r="B22" s="48" t="s">
        <v>37</v>
      </c>
      <c r="C22" s="46">
        <v>25855.36</v>
      </c>
      <c r="D22" s="46" t="s">
        <v>53</v>
      </c>
      <c r="E22">
        <f t="shared" si="0"/>
        <v>-2655.5104985843427</v>
      </c>
      <c r="F22">
        <f t="shared" si="1"/>
        <v>-2655.5</v>
      </c>
      <c r="G22">
        <f t="shared" si="2"/>
        <v>-0.10534499999630498</v>
      </c>
      <c r="I22">
        <f t="shared" si="3"/>
        <v>-0.10534499999630498</v>
      </c>
      <c r="O22">
        <f t="shared" si="4"/>
        <v>0.057202823594906874</v>
      </c>
      <c r="Q22" s="2">
        <f t="shared" si="5"/>
        <v>10836.86</v>
      </c>
    </row>
    <row r="23" spans="1:17" ht="12.75">
      <c r="A23" s="45" t="s">
        <v>59</v>
      </c>
      <c r="B23" s="48" t="s">
        <v>37</v>
      </c>
      <c r="C23" s="46">
        <v>25865.46</v>
      </c>
      <c r="D23" s="46" t="s">
        <v>53</v>
      </c>
      <c r="E23">
        <f t="shared" si="0"/>
        <v>-2654.503942014369</v>
      </c>
      <c r="F23">
        <f t="shared" si="1"/>
        <v>-2654.5</v>
      </c>
      <c r="G23">
        <f t="shared" si="2"/>
        <v>-0.039554999999381835</v>
      </c>
      <c r="I23">
        <f t="shared" si="3"/>
        <v>-0.039554999999381835</v>
      </c>
      <c r="O23">
        <f t="shared" si="4"/>
        <v>0.05718124757089342</v>
      </c>
      <c r="Q23" s="2">
        <f t="shared" si="5"/>
        <v>10846.96</v>
      </c>
    </row>
    <row r="24" spans="1:17" ht="12.75">
      <c r="A24" s="45" t="s">
        <v>59</v>
      </c>
      <c r="B24" s="48" t="s">
        <v>37</v>
      </c>
      <c r="C24" s="46">
        <v>27927.54</v>
      </c>
      <c r="D24" s="46" t="s">
        <v>53</v>
      </c>
      <c r="E24">
        <f t="shared" si="0"/>
        <v>-2448.998974508207</v>
      </c>
      <c r="F24">
        <f t="shared" si="1"/>
        <v>-2449</v>
      </c>
      <c r="G24">
        <f t="shared" si="2"/>
        <v>0.01029000000198721</v>
      </c>
      <c r="I24">
        <f t="shared" si="3"/>
        <v>0.01029000000198721</v>
      </c>
      <c r="O24">
        <f t="shared" si="4"/>
        <v>0.05274737463612965</v>
      </c>
      <c r="Q24" s="2">
        <f t="shared" si="5"/>
        <v>12909.04</v>
      </c>
    </row>
    <row r="25" spans="1:17" ht="12.75">
      <c r="A25" s="45" t="s">
        <v>59</v>
      </c>
      <c r="B25" s="48" t="s">
        <v>37</v>
      </c>
      <c r="C25" s="46">
        <v>28429.33</v>
      </c>
      <c r="D25" s="46" t="s">
        <v>53</v>
      </c>
      <c r="E25">
        <f t="shared" si="0"/>
        <v>-2398.9910516124337</v>
      </c>
      <c r="F25">
        <f t="shared" si="1"/>
        <v>-2399</v>
      </c>
      <c r="G25">
        <f t="shared" si="2"/>
        <v>0.08979000000545057</v>
      </c>
      <c r="I25">
        <f t="shared" si="3"/>
        <v>0.08979000000545057</v>
      </c>
      <c r="O25">
        <f t="shared" si="4"/>
        <v>0.05166857343545721</v>
      </c>
      <c r="Q25" s="2">
        <f t="shared" si="5"/>
        <v>13410.830000000002</v>
      </c>
    </row>
    <row r="26" spans="1:17" ht="12.75">
      <c r="A26" s="45" t="s">
        <v>59</v>
      </c>
      <c r="B26" s="48" t="s">
        <v>37</v>
      </c>
      <c r="C26" s="46">
        <v>28750.44</v>
      </c>
      <c r="D26" s="46" t="s">
        <v>53</v>
      </c>
      <c r="E26">
        <f t="shared" si="0"/>
        <v>-2366.9895288219004</v>
      </c>
      <c r="F26">
        <f t="shared" si="1"/>
        <v>-2367</v>
      </c>
      <c r="G26">
        <f t="shared" si="2"/>
        <v>0.10507000000143307</v>
      </c>
      <c r="I26">
        <f t="shared" si="3"/>
        <v>0.10507000000143307</v>
      </c>
      <c r="O26">
        <f t="shared" si="4"/>
        <v>0.05097814066702684</v>
      </c>
      <c r="Q26" s="2">
        <f t="shared" si="5"/>
        <v>13731.939999999999</v>
      </c>
    </row>
    <row r="27" spans="1:17" ht="12.75">
      <c r="A27" s="45" t="s">
        <v>79</v>
      </c>
      <c r="B27" s="48" t="s">
        <v>37</v>
      </c>
      <c r="C27" s="46">
        <v>36085.467</v>
      </c>
      <c r="D27" s="46" t="s">
        <v>53</v>
      </c>
      <c r="E27">
        <f t="shared" si="0"/>
        <v>-1635.9875864666976</v>
      </c>
      <c r="F27">
        <f t="shared" si="1"/>
        <v>-1636</v>
      </c>
      <c r="G27">
        <f t="shared" si="2"/>
        <v>0.12456000000383938</v>
      </c>
      <c r="I27">
        <f t="shared" si="3"/>
        <v>0.12456000000383938</v>
      </c>
      <c r="O27">
        <f t="shared" si="4"/>
        <v>0.03520606711319561</v>
      </c>
      <c r="Q27" s="2">
        <f t="shared" si="5"/>
        <v>21066.966999999997</v>
      </c>
    </row>
    <row r="28" spans="1:17" ht="12.75">
      <c r="A28" s="45" t="s">
        <v>79</v>
      </c>
      <c r="B28" s="48" t="s">
        <v>37</v>
      </c>
      <c r="C28" s="46">
        <v>36436.502</v>
      </c>
      <c r="D28" s="46" t="s">
        <v>53</v>
      </c>
      <c r="E28">
        <f t="shared" si="0"/>
        <v>-1601.0037661161166</v>
      </c>
      <c r="F28">
        <f t="shared" si="1"/>
        <v>-1601</v>
      </c>
      <c r="G28">
        <f t="shared" si="2"/>
        <v>-0.03778999999485677</v>
      </c>
      <c r="I28">
        <f t="shared" si="3"/>
        <v>-0.03778999999485677</v>
      </c>
      <c r="O28">
        <f t="shared" si="4"/>
        <v>0.0344509062727249</v>
      </c>
      <c r="Q28" s="2">
        <f t="shared" si="5"/>
        <v>21418.002</v>
      </c>
    </row>
    <row r="29" spans="1:17" ht="12.75">
      <c r="A29" s="45" t="s">
        <v>86</v>
      </c>
      <c r="B29" s="48" t="s">
        <v>37</v>
      </c>
      <c r="C29" s="46">
        <v>36868.257</v>
      </c>
      <c r="D29" s="46" t="s">
        <v>53</v>
      </c>
      <c r="E29">
        <f t="shared" si="0"/>
        <v>-1557.97546593105</v>
      </c>
      <c r="F29">
        <f t="shared" si="1"/>
        <v>-1558</v>
      </c>
      <c r="G29">
        <f t="shared" si="2"/>
        <v>0.24618000000191387</v>
      </c>
      <c r="I29">
        <f t="shared" si="3"/>
        <v>0.24618000000191387</v>
      </c>
      <c r="O29">
        <f t="shared" si="4"/>
        <v>0.03352313724014659</v>
      </c>
      <c r="Q29" s="2">
        <f t="shared" si="5"/>
        <v>21849.756999999998</v>
      </c>
    </row>
    <row r="30" spans="1:17" ht="12.75">
      <c r="A30" s="45" t="s">
        <v>86</v>
      </c>
      <c r="B30" s="48" t="s">
        <v>37</v>
      </c>
      <c r="C30" s="46">
        <v>36868.301</v>
      </c>
      <c r="D30" s="46" t="s">
        <v>53</v>
      </c>
      <c r="E30">
        <f t="shared" si="0"/>
        <v>-1557.971080932131</v>
      </c>
      <c r="F30">
        <f t="shared" si="1"/>
        <v>-1558</v>
      </c>
      <c r="G30">
        <f t="shared" si="2"/>
        <v>0.2901800000036019</v>
      </c>
      <c r="I30">
        <f t="shared" si="3"/>
        <v>0.2901800000036019</v>
      </c>
      <c r="O30">
        <f t="shared" si="4"/>
        <v>0.03352313724014659</v>
      </c>
      <c r="Q30" s="2">
        <f t="shared" si="5"/>
        <v>21849.801</v>
      </c>
    </row>
    <row r="31" spans="1:17" ht="12.75">
      <c r="A31" s="45" t="s">
        <v>86</v>
      </c>
      <c r="B31" s="48" t="s">
        <v>37</v>
      </c>
      <c r="C31" s="46">
        <v>36868.341</v>
      </c>
      <c r="D31" s="46" t="s">
        <v>53</v>
      </c>
      <c r="E31">
        <f t="shared" si="0"/>
        <v>-1557.9670945694775</v>
      </c>
      <c r="F31">
        <f t="shared" si="1"/>
        <v>-1558</v>
      </c>
      <c r="G31">
        <f t="shared" si="2"/>
        <v>0.330180000004475</v>
      </c>
      <c r="I31">
        <f t="shared" si="3"/>
        <v>0.330180000004475</v>
      </c>
      <c r="O31">
        <f t="shared" si="4"/>
        <v>0.03352313724014659</v>
      </c>
      <c r="Q31" s="2">
        <f t="shared" si="5"/>
        <v>21849.841</v>
      </c>
    </row>
    <row r="32" spans="1:17" ht="12.75">
      <c r="A32" s="45" t="s">
        <v>79</v>
      </c>
      <c r="B32" s="48" t="s">
        <v>37</v>
      </c>
      <c r="C32" s="46">
        <v>37249.299</v>
      </c>
      <c r="D32" s="46" t="s">
        <v>53</v>
      </c>
      <c r="E32">
        <f t="shared" si="0"/>
        <v>-1520.0011759769827</v>
      </c>
      <c r="F32">
        <f t="shared" si="1"/>
        <v>-1520</v>
      </c>
      <c r="G32">
        <f t="shared" si="2"/>
        <v>-0.011800000000221189</v>
      </c>
      <c r="I32">
        <f t="shared" si="3"/>
        <v>-0.011800000000221189</v>
      </c>
      <c r="O32">
        <f t="shared" si="4"/>
        <v>0.032703248327635534</v>
      </c>
      <c r="Q32" s="2">
        <f t="shared" si="5"/>
        <v>22230.799</v>
      </c>
    </row>
    <row r="33" spans="1:17" ht="12.75">
      <c r="A33" s="45" t="s">
        <v>79</v>
      </c>
      <c r="B33" s="48" t="s">
        <v>37</v>
      </c>
      <c r="C33" s="46">
        <v>37545.348</v>
      </c>
      <c r="D33" s="46" t="s">
        <v>53</v>
      </c>
      <c r="E33">
        <f t="shared" si="0"/>
        <v>-1490.4972090478473</v>
      </c>
      <c r="F33">
        <f t="shared" si="1"/>
        <v>-1490.5</v>
      </c>
      <c r="G33">
        <f t="shared" si="2"/>
        <v>0.028005000000121072</v>
      </c>
      <c r="I33">
        <f t="shared" si="3"/>
        <v>0.028005000000121072</v>
      </c>
      <c r="O33">
        <f t="shared" si="4"/>
        <v>0.03206675561923879</v>
      </c>
      <c r="Q33" s="2">
        <f t="shared" si="5"/>
        <v>22526.847999999998</v>
      </c>
    </row>
    <row r="34" spans="1:17" ht="12.75">
      <c r="A34" s="45" t="s">
        <v>79</v>
      </c>
      <c r="B34" s="48" t="s">
        <v>37</v>
      </c>
      <c r="C34" s="46">
        <v>37560.406</v>
      </c>
      <c r="D34" s="46" t="s">
        <v>53</v>
      </c>
      <c r="E34">
        <f t="shared" si="0"/>
        <v>-1488.9965428269884</v>
      </c>
      <c r="F34">
        <f t="shared" si="1"/>
        <v>-1489</v>
      </c>
      <c r="G34">
        <f t="shared" si="2"/>
        <v>0.03469000000040978</v>
      </c>
      <c r="I34">
        <f t="shared" si="3"/>
        <v>0.03469000000040978</v>
      </c>
      <c r="O34">
        <f t="shared" si="4"/>
        <v>0.03203439158321862</v>
      </c>
      <c r="Q34" s="2">
        <f t="shared" si="5"/>
        <v>22541.906000000003</v>
      </c>
    </row>
    <row r="35" spans="1:17" ht="12.75">
      <c r="A35" s="45" t="s">
        <v>79</v>
      </c>
      <c r="B35" s="48" t="s">
        <v>37</v>
      </c>
      <c r="C35" s="46">
        <v>37575.399</v>
      </c>
      <c r="D35" s="46" t="s">
        <v>53</v>
      </c>
      <c r="E35">
        <f t="shared" si="0"/>
        <v>-1487.5023544454423</v>
      </c>
      <c r="F35">
        <f t="shared" si="1"/>
        <v>-1487.5</v>
      </c>
      <c r="G35">
        <f t="shared" si="2"/>
        <v>-0.023625000001629815</v>
      </c>
      <c r="I35">
        <f t="shared" si="3"/>
        <v>-0.023625000001629815</v>
      </c>
      <c r="O35">
        <f t="shared" si="4"/>
        <v>0.03200202754719844</v>
      </c>
      <c r="Q35" s="2">
        <f t="shared" si="5"/>
        <v>22556.898999999998</v>
      </c>
    </row>
    <row r="36" spans="1:17" ht="12.75">
      <c r="A36" s="45" t="s">
        <v>79</v>
      </c>
      <c r="B36" s="48" t="s">
        <v>37</v>
      </c>
      <c r="C36" s="46">
        <v>37871.492</v>
      </c>
      <c r="D36" s="46" t="s">
        <v>53</v>
      </c>
      <c r="E36">
        <f t="shared" si="0"/>
        <v>-1457.994002517388</v>
      </c>
      <c r="F36">
        <f t="shared" si="1"/>
        <v>-1458</v>
      </c>
      <c r="G36">
        <f t="shared" si="2"/>
        <v>0.06018000000040047</v>
      </c>
      <c r="I36">
        <f t="shared" si="3"/>
        <v>0.06018000000040047</v>
      </c>
      <c r="O36">
        <f t="shared" si="4"/>
        <v>0.031365534838801695</v>
      </c>
      <c r="Q36" s="2">
        <f t="shared" si="5"/>
        <v>22852.992</v>
      </c>
    </row>
    <row r="37" spans="1:17" ht="12.75">
      <c r="A37" s="45" t="s">
        <v>79</v>
      </c>
      <c r="B37" s="48" t="s">
        <v>37</v>
      </c>
      <c r="C37" s="46">
        <v>37876.495</v>
      </c>
      <c r="D37" s="46" t="s">
        <v>53</v>
      </c>
      <c r="E37">
        <f t="shared" si="0"/>
        <v>-1457.4954082085183</v>
      </c>
      <c r="F37">
        <f t="shared" si="1"/>
        <v>-1457.5</v>
      </c>
      <c r="G37">
        <f t="shared" si="2"/>
        <v>0.046075000005657785</v>
      </c>
      <c r="I37">
        <f t="shared" si="3"/>
        <v>0.046075000005657785</v>
      </c>
      <c r="O37">
        <f t="shared" si="4"/>
        <v>0.03135474682679497</v>
      </c>
      <c r="Q37" s="2">
        <f t="shared" si="5"/>
        <v>22857.995000000003</v>
      </c>
    </row>
    <row r="38" spans="1:17" ht="12.75">
      <c r="A38" s="45" t="s">
        <v>79</v>
      </c>
      <c r="B38" s="48" t="s">
        <v>37</v>
      </c>
      <c r="C38" s="46">
        <v>37886.491</v>
      </c>
      <c r="D38" s="46" t="s">
        <v>53</v>
      </c>
      <c r="E38">
        <f t="shared" si="0"/>
        <v>-1456.499216181443</v>
      </c>
      <c r="F38">
        <f t="shared" si="1"/>
        <v>-1456.5</v>
      </c>
      <c r="G38">
        <f t="shared" si="2"/>
        <v>0.007864999999583233</v>
      </c>
      <c r="I38">
        <f t="shared" si="3"/>
        <v>0.007864999999583233</v>
      </c>
      <c r="O38">
        <f t="shared" si="4"/>
        <v>0.03133317080278153</v>
      </c>
      <c r="Q38" s="2">
        <f t="shared" si="5"/>
        <v>22867.991</v>
      </c>
    </row>
    <row r="39" spans="1:17" ht="12.75">
      <c r="A39" s="45" t="s">
        <v>79</v>
      </c>
      <c r="B39" s="48" t="s">
        <v>37</v>
      </c>
      <c r="C39" s="46">
        <v>37911.453</v>
      </c>
      <c r="D39" s="46" t="s">
        <v>53</v>
      </c>
      <c r="E39">
        <f t="shared" si="0"/>
        <v>-1454.0115265676118</v>
      </c>
      <c r="F39">
        <f t="shared" si="1"/>
        <v>-1454</v>
      </c>
      <c r="G39">
        <f t="shared" si="2"/>
        <v>-0.11565999999584164</v>
      </c>
      <c r="I39">
        <f t="shared" si="3"/>
        <v>-0.11565999999584164</v>
      </c>
      <c r="O39">
        <f t="shared" si="4"/>
        <v>0.031279230742747896</v>
      </c>
      <c r="Q39" s="2">
        <f t="shared" si="5"/>
        <v>22892.953</v>
      </c>
    </row>
    <row r="40" spans="1:17" ht="12.75">
      <c r="A40" s="45" t="s">
        <v>79</v>
      </c>
      <c r="B40" s="48" t="s">
        <v>37</v>
      </c>
      <c r="C40" s="46">
        <v>38232.534</v>
      </c>
      <c r="D40" s="46" t="s">
        <v>53</v>
      </c>
      <c r="E40">
        <f t="shared" si="0"/>
        <v>-1422.012893890002</v>
      </c>
      <c r="F40">
        <f t="shared" si="1"/>
        <v>-1422</v>
      </c>
      <c r="G40">
        <f t="shared" si="2"/>
        <v>-0.12937999999849126</v>
      </c>
      <c r="I40">
        <f t="shared" si="3"/>
        <v>-0.12937999999849126</v>
      </c>
      <c r="O40">
        <f t="shared" si="4"/>
        <v>0.030588797974317534</v>
      </c>
      <c r="Q40" s="2">
        <f t="shared" si="5"/>
        <v>23214.034</v>
      </c>
    </row>
    <row r="41" spans="1:17" ht="12.75">
      <c r="A41" s="45" t="s">
        <v>79</v>
      </c>
      <c r="B41" s="48" t="s">
        <v>37</v>
      </c>
      <c r="C41" s="46">
        <v>39025.363</v>
      </c>
      <c r="D41" s="46" t="s">
        <v>53</v>
      </c>
      <c r="E41">
        <f t="shared" si="0"/>
        <v>-1343.000295987427</v>
      </c>
      <c r="F41">
        <f t="shared" si="1"/>
        <v>-1343</v>
      </c>
      <c r="G41">
        <f t="shared" si="2"/>
        <v>-0.002970000001369044</v>
      </c>
      <c r="I41">
        <f t="shared" si="3"/>
        <v>-0.002970000001369044</v>
      </c>
      <c r="O41">
        <f t="shared" si="4"/>
        <v>0.028884292077255062</v>
      </c>
      <c r="Q41" s="2">
        <f t="shared" si="5"/>
        <v>24006.862999999998</v>
      </c>
    </row>
    <row r="42" spans="1:17" ht="12.75">
      <c r="A42" s="31" t="s">
        <v>38</v>
      </c>
      <c r="B42" s="30" t="s">
        <v>37</v>
      </c>
      <c r="C42" s="31">
        <v>52501.31</v>
      </c>
      <c r="D42" s="28"/>
      <c r="E42">
        <f t="shared" si="0"/>
        <v>0</v>
      </c>
      <c r="F42">
        <f t="shared" si="1"/>
        <v>0</v>
      </c>
      <c r="G42">
        <f t="shared" si="2"/>
        <v>0</v>
      </c>
      <c r="H42">
        <f>+G42</f>
        <v>0</v>
      </c>
      <c r="O42">
        <f t="shared" si="4"/>
        <v>-9.230817280694512E-05</v>
      </c>
      <c r="Q42" s="2">
        <f t="shared" si="5"/>
        <v>37482.81</v>
      </c>
    </row>
    <row r="43" spans="1:17" ht="12.75">
      <c r="A43" s="45" t="s">
        <v>128</v>
      </c>
      <c r="B43" s="48" t="s">
        <v>37</v>
      </c>
      <c r="C43" s="46">
        <v>53991.3364</v>
      </c>
      <c r="D43" s="46" t="s">
        <v>53</v>
      </c>
      <c r="E43">
        <f t="shared" si="0"/>
        <v>148.49463983711746</v>
      </c>
      <c r="F43">
        <f t="shared" si="1"/>
        <v>148.5</v>
      </c>
      <c r="G43">
        <f t="shared" si="2"/>
        <v>-0.05378499999642372</v>
      </c>
      <c r="K43">
        <f>+G43</f>
        <v>-0.05378499999642372</v>
      </c>
      <c r="O43">
        <f t="shared" si="4"/>
        <v>-0.0032963477388041214</v>
      </c>
      <c r="Q43" s="2">
        <f t="shared" si="5"/>
        <v>38972.8364</v>
      </c>
    </row>
    <row r="44" spans="1:17" ht="12.75">
      <c r="A44" s="49" t="s">
        <v>42</v>
      </c>
      <c r="B44" s="50" t="s">
        <v>37</v>
      </c>
      <c r="C44" s="49">
        <v>54001.3687</v>
      </c>
      <c r="D44" s="49">
        <v>0.0015</v>
      </c>
      <c r="E44">
        <f t="shared" si="0"/>
        <v>149.49444948830066</v>
      </c>
      <c r="F44">
        <f t="shared" si="1"/>
        <v>149.5</v>
      </c>
      <c r="G44">
        <f t="shared" si="2"/>
        <v>-0.05569499999546679</v>
      </c>
      <c r="J44">
        <f>+G44</f>
        <v>-0.05569499999546679</v>
      </c>
      <c r="O44">
        <f t="shared" si="4"/>
        <v>-0.003317923762817571</v>
      </c>
      <c r="Q44" s="2">
        <f t="shared" si="5"/>
        <v>38982.8687</v>
      </c>
    </row>
    <row r="45" spans="1:17" ht="12.75">
      <c r="A45" s="45" t="s">
        <v>128</v>
      </c>
      <c r="B45" s="48" t="s">
        <v>37</v>
      </c>
      <c r="C45" s="46">
        <v>54327.5372</v>
      </c>
      <c r="D45" s="46" t="s">
        <v>53</v>
      </c>
      <c r="E45">
        <f t="shared" si="0"/>
        <v>182.00009766588514</v>
      </c>
      <c r="F45">
        <f t="shared" si="1"/>
        <v>182</v>
      </c>
      <c r="G45">
        <f t="shared" si="2"/>
        <v>0.0009800000043469481</v>
      </c>
      <c r="K45">
        <f>+G45</f>
        <v>0.0009800000043469481</v>
      </c>
      <c r="O45">
        <f t="shared" si="4"/>
        <v>-0.004019144543254663</v>
      </c>
      <c r="Q45" s="2">
        <f t="shared" si="5"/>
        <v>39309.0372</v>
      </c>
    </row>
    <row r="46" spans="1:17" ht="12.75">
      <c r="A46" s="51" t="s">
        <v>2</v>
      </c>
      <c r="B46" s="52" t="s">
        <v>37</v>
      </c>
      <c r="C46" s="53">
        <v>57257.5183</v>
      </c>
      <c r="D46" s="53" t="s">
        <v>3</v>
      </c>
      <c r="E46">
        <f>+(C46-C$7)/C$8</f>
        <v>473.99927846836033</v>
      </c>
      <c r="F46">
        <f t="shared" si="1"/>
        <v>474</v>
      </c>
      <c r="G46">
        <f>+C46-(C$7+F46*C$8)</f>
        <v>-0.007239999991725199</v>
      </c>
      <c r="K46">
        <f>+G46</f>
        <v>-0.007239999991725199</v>
      </c>
      <c r="O46">
        <f>+C$11+C$12*$F46</f>
        <v>-0.01031934355518177</v>
      </c>
      <c r="Q46" s="2">
        <f>+C46-15018.5</f>
        <v>42239.0183</v>
      </c>
    </row>
    <row r="47" spans="1:17" ht="12.75">
      <c r="A47" s="54" t="s">
        <v>0</v>
      </c>
      <c r="B47" s="54" t="s">
        <v>37</v>
      </c>
      <c r="C47" s="55">
        <v>57453.141</v>
      </c>
      <c r="D47" s="55">
        <v>0.02</v>
      </c>
      <c r="E47">
        <f>+(C47-C$7)/C$8</f>
        <v>493.4948541041104</v>
      </c>
      <c r="F47">
        <f t="shared" si="1"/>
        <v>493.5</v>
      </c>
      <c r="G47">
        <f>+C47-(C$7+F47*C$8)</f>
        <v>-0.05163499999616761</v>
      </c>
      <c r="K47">
        <f>+G47</f>
        <v>-0.05163499999616761</v>
      </c>
      <c r="O47">
        <f>+C$11+C$12*$F47</f>
        <v>-0.010740076023444026</v>
      </c>
      <c r="Q47" s="2">
        <f>+C47-15018.5</f>
        <v>42434.641</v>
      </c>
    </row>
    <row r="48" spans="1:17" ht="12.75">
      <c r="A48" s="54" t="s">
        <v>0</v>
      </c>
      <c r="B48" s="54" t="s">
        <v>1</v>
      </c>
      <c r="C48" s="55">
        <v>57919.781</v>
      </c>
      <c r="D48" s="55">
        <v>0.02</v>
      </c>
      <c r="E48">
        <f>+(C48-C$7)/C$8</f>
        <v>539.9997608182413</v>
      </c>
      <c r="F48">
        <f t="shared" si="1"/>
        <v>540</v>
      </c>
      <c r="G48">
        <f>+C48-(C$7+F48*C$8)</f>
        <v>-0.0023999999975785613</v>
      </c>
      <c r="K48">
        <f>+G48</f>
        <v>-0.0023999999975785613</v>
      </c>
      <c r="O48">
        <f>+C$11+C$12*$F48</f>
        <v>-0.011743361140069405</v>
      </c>
      <c r="Q48" s="2">
        <f>+C48-15018.5</f>
        <v>42901.281</v>
      </c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hyperlinks>
    <hyperlink ref="H803" r:id="rId1" display="http://vsolj.cetus-net.org/bulletin.html"/>
    <hyperlink ref="H64548" r:id="rId2" display="http://vsolj.cetus-net.org/bulletin.html"/>
    <hyperlink ref="H64541" r:id="rId3" display="https://www.aavso.org/ejaavso"/>
    <hyperlink ref="AP692" r:id="rId4" display="http://cdsbib.u-strasbg.fr/cgi-bin/cdsbib?1990RMxAA..21..381G"/>
    <hyperlink ref="AP696" r:id="rId5" display="http://cdsbib.u-strasbg.fr/cgi-bin/cdsbib?1990RMxAA..21..381G"/>
    <hyperlink ref="AP695" r:id="rId6" display="http://cdsbib.u-strasbg.fr/cgi-bin/cdsbib?1990RMxAA..21..381G"/>
    <hyperlink ref="AP676" r:id="rId7" display="http://cdsbib.u-strasbg.fr/cgi-bin/cdsbib?1990RMxAA..21..381G"/>
    <hyperlink ref="I64548" r:id="rId8" display="http://vsolj.cetus-net.org/bulletin.html"/>
    <hyperlink ref="AQ832" r:id="rId9" display="http://cdsbib.u-strasbg.fr/cgi-bin/cdsbib?1990RMxAA..21..381G"/>
    <hyperlink ref="AQ55598" r:id="rId10" display="http://cdsbib.u-strasbg.fr/cgi-bin/cdsbib?1990RMxAA..21..381G"/>
    <hyperlink ref="AQ833" r:id="rId11" display="http://cdsbib.u-strasbg.fr/cgi-bin/cdsbib?1990RMxAA..21..381G"/>
    <hyperlink ref="H64545" r:id="rId12" display="https://www.aavso.org/ejaavso"/>
    <hyperlink ref="H1718" r:id="rId13" display="http://vsolj.cetus-net.org/bulletin.html"/>
    <hyperlink ref="AP2962" r:id="rId14" display="http://cdsbib.u-strasbg.fr/cgi-bin/cdsbib?1990RMxAA..21..381G"/>
    <hyperlink ref="AP2965" r:id="rId15" display="http://cdsbib.u-strasbg.fr/cgi-bin/cdsbib?1990RMxAA..21..381G"/>
    <hyperlink ref="AP2963" r:id="rId16" display="http://cdsbib.u-strasbg.fr/cgi-bin/cdsbib?1990RMxAA..21..381G"/>
    <hyperlink ref="AP2947" r:id="rId17" display="http://cdsbib.u-strasbg.fr/cgi-bin/cdsbib?1990RMxAA..21..381G"/>
    <hyperlink ref="I1718" r:id="rId18" display="http://vsolj.cetus-net.org/bulletin.html"/>
    <hyperlink ref="AQ3176" r:id="rId19" display="http://cdsbib.u-strasbg.fr/cgi-bin/cdsbib?1990RMxAA..21..381G"/>
    <hyperlink ref="AQ65413" r:id="rId20" display="http://cdsbib.u-strasbg.fr/cgi-bin/cdsbib?1990RMxAA..21..381G"/>
    <hyperlink ref="AQ3180" r:id="rId21" display="http://cdsbib.u-strasbg.fr/cgi-bin/cdsbib?1990RMxAA..21..381G"/>
  </hyperlinks>
  <printOptions/>
  <pageMargins left="0.75" right="0.75" top="1" bottom="1" header="0.5" footer="0.5"/>
  <pageSetup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7"/>
  <sheetViews>
    <sheetView zoomScalePageLayoutView="0" workbookViewId="0" topLeftCell="A1">
      <selection activeCell="A12" sqref="A12:D34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43</v>
      </c>
      <c r="I1" s="33" t="s">
        <v>44</v>
      </c>
      <c r="J1" s="34" t="s">
        <v>45</v>
      </c>
    </row>
    <row r="2" spans="9:10" ht="12.75">
      <c r="I2" s="35" t="s">
        <v>46</v>
      </c>
      <c r="J2" s="36" t="s">
        <v>47</v>
      </c>
    </row>
    <row r="3" spans="1:10" ht="12.75">
      <c r="A3" s="37" t="s">
        <v>48</v>
      </c>
      <c r="I3" s="35" t="s">
        <v>49</v>
      </c>
      <c r="J3" s="36" t="s">
        <v>50</v>
      </c>
    </row>
    <row r="4" spans="9:10" ht="12.75">
      <c r="I4" s="35" t="s">
        <v>51</v>
      </c>
      <c r="J4" s="36" t="s">
        <v>50</v>
      </c>
    </row>
    <row r="5" spans="9:10" ht="13.5" thickBot="1">
      <c r="I5" s="38" t="s">
        <v>52</v>
      </c>
      <c r="J5" s="39" t="s">
        <v>53</v>
      </c>
    </row>
    <row r="10" ht="13.5" thickBot="1"/>
    <row r="11" spans="1:16" ht="12.75" customHeight="1" thickBot="1">
      <c r="A11" s="10" t="str">
        <f aca="true" t="shared" si="0" ref="A11:A34">P11</f>
        <v>BAVM 183 </v>
      </c>
      <c r="B11" s="3" t="str">
        <f aca="true" t="shared" si="1" ref="B11:B34">IF(H11=INT(H11),"I","II")</f>
        <v>I</v>
      </c>
      <c r="C11" s="10">
        <f aca="true" t="shared" si="2" ref="C11:C34">1*G11</f>
        <v>54001.3687</v>
      </c>
      <c r="D11" s="12" t="str">
        <f aca="true" t="shared" si="3" ref="D11:D34">VLOOKUP(F11,I$1:J$5,2,FALSE)</f>
        <v>vis</v>
      </c>
      <c r="E11" s="40">
        <f>VLOOKUP(C11,A!C$21:E$973,3,FALSE)</f>
        <v>149.49444948830066</v>
      </c>
      <c r="F11" s="3" t="s">
        <v>52</v>
      </c>
      <c r="G11" s="12" t="str">
        <f aca="true" t="shared" si="4" ref="G11:G34">MID(I11,3,LEN(I11)-3)</f>
        <v>54001.3687</v>
      </c>
      <c r="H11" s="10">
        <f aca="true" t="shared" si="5" ref="H11:H34">1*K11</f>
        <v>5615</v>
      </c>
      <c r="I11" s="41" t="s">
        <v>129</v>
      </c>
      <c r="J11" s="42" t="s">
        <v>130</v>
      </c>
      <c r="K11" s="41" t="s">
        <v>131</v>
      </c>
      <c r="L11" s="41" t="s">
        <v>132</v>
      </c>
      <c r="M11" s="42" t="s">
        <v>125</v>
      </c>
      <c r="N11" s="42" t="s">
        <v>126</v>
      </c>
      <c r="O11" s="43" t="s">
        <v>133</v>
      </c>
      <c r="P11" s="44" t="s">
        <v>134</v>
      </c>
    </row>
    <row r="12" spans="1:16" ht="12.75" customHeight="1" thickBot="1">
      <c r="A12" s="10" t="str">
        <f t="shared" si="0"/>
        <v> VSS 1.153 </v>
      </c>
      <c r="B12" s="3" t="str">
        <f t="shared" si="1"/>
        <v>I</v>
      </c>
      <c r="C12" s="10">
        <f t="shared" si="2"/>
        <v>25830.41</v>
      </c>
      <c r="D12" s="12" t="str">
        <f t="shared" si="3"/>
        <v>vis</v>
      </c>
      <c r="E12" s="40">
        <f>VLOOKUP(C12,A!C$21:E$973,3,FALSE)</f>
        <v>-2657.996992289378</v>
      </c>
      <c r="F12" s="3" t="s">
        <v>52</v>
      </c>
      <c r="G12" s="12" t="str">
        <f t="shared" si="4"/>
        <v>25830.41</v>
      </c>
      <c r="H12" s="10">
        <f t="shared" si="5"/>
        <v>0</v>
      </c>
      <c r="I12" s="41" t="s">
        <v>54</v>
      </c>
      <c r="J12" s="42" t="s">
        <v>55</v>
      </c>
      <c r="K12" s="41">
        <v>0</v>
      </c>
      <c r="L12" s="41" t="s">
        <v>56</v>
      </c>
      <c r="M12" s="42" t="s">
        <v>57</v>
      </c>
      <c r="N12" s="42"/>
      <c r="O12" s="43" t="s">
        <v>58</v>
      </c>
      <c r="P12" s="43" t="s">
        <v>59</v>
      </c>
    </row>
    <row r="13" spans="1:16" ht="12.75" customHeight="1" thickBot="1">
      <c r="A13" s="10" t="str">
        <f t="shared" si="0"/>
        <v> VSS 1.153 </v>
      </c>
      <c r="B13" s="3" t="str">
        <f t="shared" si="1"/>
        <v>I</v>
      </c>
      <c r="C13" s="10">
        <f t="shared" si="2"/>
        <v>25855.36</v>
      </c>
      <c r="D13" s="12" t="str">
        <f t="shared" si="3"/>
        <v>vis</v>
      </c>
      <c r="E13" s="40">
        <f>VLOOKUP(C13,A!C$21:E$973,3,FALSE)</f>
        <v>-2655.5104985843427</v>
      </c>
      <c r="F13" s="3" t="s">
        <v>52</v>
      </c>
      <c r="G13" s="12" t="str">
        <f t="shared" si="4"/>
        <v>25855.36</v>
      </c>
      <c r="H13" s="10">
        <f t="shared" si="5"/>
        <v>5</v>
      </c>
      <c r="I13" s="41" t="s">
        <v>60</v>
      </c>
      <c r="J13" s="42" t="s">
        <v>61</v>
      </c>
      <c r="K13" s="41">
        <v>5</v>
      </c>
      <c r="L13" s="41" t="s">
        <v>62</v>
      </c>
      <c r="M13" s="42" t="s">
        <v>57</v>
      </c>
      <c r="N13" s="42"/>
      <c r="O13" s="43" t="s">
        <v>58</v>
      </c>
      <c r="P13" s="43" t="s">
        <v>59</v>
      </c>
    </row>
    <row r="14" spans="1:16" ht="12.75" customHeight="1" thickBot="1">
      <c r="A14" s="10" t="str">
        <f t="shared" si="0"/>
        <v> VSS 1.153 </v>
      </c>
      <c r="B14" s="3" t="str">
        <f t="shared" si="1"/>
        <v>I</v>
      </c>
      <c r="C14" s="10">
        <f t="shared" si="2"/>
        <v>25865.46</v>
      </c>
      <c r="D14" s="12" t="str">
        <f t="shared" si="3"/>
        <v>vis</v>
      </c>
      <c r="E14" s="40">
        <f>VLOOKUP(C14,A!C$21:E$973,3,FALSE)</f>
        <v>-2654.503942014369</v>
      </c>
      <c r="F14" s="3" t="s">
        <v>52</v>
      </c>
      <c r="G14" s="12" t="str">
        <f t="shared" si="4"/>
        <v>25865.46</v>
      </c>
      <c r="H14" s="10">
        <f t="shared" si="5"/>
        <v>7</v>
      </c>
      <c r="I14" s="41" t="s">
        <v>63</v>
      </c>
      <c r="J14" s="42" t="s">
        <v>64</v>
      </c>
      <c r="K14" s="41">
        <v>7</v>
      </c>
      <c r="L14" s="41" t="s">
        <v>65</v>
      </c>
      <c r="M14" s="42" t="s">
        <v>57</v>
      </c>
      <c r="N14" s="42"/>
      <c r="O14" s="43" t="s">
        <v>58</v>
      </c>
      <c r="P14" s="43" t="s">
        <v>59</v>
      </c>
    </row>
    <row r="15" spans="1:16" ht="12.75" customHeight="1" thickBot="1">
      <c r="A15" s="10" t="str">
        <f t="shared" si="0"/>
        <v> VSS 1.153 </v>
      </c>
      <c r="B15" s="3" t="str">
        <f t="shared" si="1"/>
        <v>I</v>
      </c>
      <c r="C15" s="10">
        <f t="shared" si="2"/>
        <v>27927.54</v>
      </c>
      <c r="D15" s="12" t="str">
        <f t="shared" si="3"/>
        <v>vis</v>
      </c>
      <c r="E15" s="40">
        <f>VLOOKUP(C15,A!C$21:E$973,3,FALSE)</f>
        <v>-2448.998974508207</v>
      </c>
      <c r="F15" s="3" t="s">
        <v>52</v>
      </c>
      <c r="G15" s="12" t="str">
        <f t="shared" si="4"/>
        <v>27927.54</v>
      </c>
      <c r="H15" s="10">
        <f t="shared" si="5"/>
        <v>418</v>
      </c>
      <c r="I15" s="41" t="s">
        <v>66</v>
      </c>
      <c r="J15" s="42" t="s">
        <v>67</v>
      </c>
      <c r="K15" s="41">
        <v>418</v>
      </c>
      <c r="L15" s="41" t="s">
        <v>68</v>
      </c>
      <c r="M15" s="42" t="s">
        <v>57</v>
      </c>
      <c r="N15" s="42"/>
      <c r="O15" s="43" t="s">
        <v>58</v>
      </c>
      <c r="P15" s="43" t="s">
        <v>59</v>
      </c>
    </row>
    <row r="16" spans="1:16" ht="12.75" customHeight="1" thickBot="1">
      <c r="A16" s="10" t="str">
        <f t="shared" si="0"/>
        <v> VSS 1.153 </v>
      </c>
      <c r="B16" s="3" t="str">
        <f t="shared" si="1"/>
        <v>I</v>
      </c>
      <c r="C16" s="10">
        <f t="shared" si="2"/>
        <v>28429.33</v>
      </c>
      <c r="D16" s="12" t="str">
        <f t="shared" si="3"/>
        <v>vis</v>
      </c>
      <c r="E16" s="40">
        <f>VLOOKUP(C16,A!C$21:E$973,3,FALSE)</f>
        <v>-2398.9910516124337</v>
      </c>
      <c r="F16" s="3" t="s">
        <v>52</v>
      </c>
      <c r="G16" s="12" t="str">
        <f t="shared" si="4"/>
        <v>28429.33</v>
      </c>
      <c r="H16" s="10">
        <f t="shared" si="5"/>
        <v>518</v>
      </c>
      <c r="I16" s="41" t="s">
        <v>69</v>
      </c>
      <c r="J16" s="42" t="s">
        <v>70</v>
      </c>
      <c r="K16" s="41">
        <v>518</v>
      </c>
      <c r="L16" s="41" t="s">
        <v>71</v>
      </c>
      <c r="M16" s="42" t="s">
        <v>57</v>
      </c>
      <c r="N16" s="42"/>
      <c r="O16" s="43" t="s">
        <v>58</v>
      </c>
      <c r="P16" s="43" t="s">
        <v>59</v>
      </c>
    </row>
    <row r="17" spans="1:16" ht="12.75" customHeight="1" thickBot="1">
      <c r="A17" s="10" t="str">
        <f t="shared" si="0"/>
        <v> VSS 1.153 </v>
      </c>
      <c r="B17" s="3" t="str">
        <f t="shared" si="1"/>
        <v>I</v>
      </c>
      <c r="C17" s="10">
        <f t="shared" si="2"/>
        <v>28750.44</v>
      </c>
      <c r="D17" s="12" t="str">
        <f t="shared" si="3"/>
        <v>vis</v>
      </c>
      <c r="E17" s="40">
        <f>VLOOKUP(C17,A!C$21:E$973,3,FALSE)</f>
        <v>-2366.9895288219004</v>
      </c>
      <c r="F17" s="3" t="s">
        <v>52</v>
      </c>
      <c r="G17" s="12" t="str">
        <f t="shared" si="4"/>
        <v>28750.44</v>
      </c>
      <c r="H17" s="10">
        <f t="shared" si="5"/>
        <v>582</v>
      </c>
      <c r="I17" s="41" t="s">
        <v>72</v>
      </c>
      <c r="J17" s="42" t="s">
        <v>73</v>
      </c>
      <c r="K17" s="41">
        <v>582</v>
      </c>
      <c r="L17" s="41" t="s">
        <v>74</v>
      </c>
      <c r="M17" s="42" t="s">
        <v>57</v>
      </c>
      <c r="N17" s="42"/>
      <c r="O17" s="43" t="s">
        <v>58</v>
      </c>
      <c r="P17" s="43" t="s">
        <v>59</v>
      </c>
    </row>
    <row r="18" spans="1:16" ht="12.75" customHeight="1" thickBot="1">
      <c r="A18" s="10" t="str">
        <f t="shared" si="0"/>
        <v> MHAR 1 </v>
      </c>
      <c r="B18" s="3" t="str">
        <f t="shared" si="1"/>
        <v>I</v>
      </c>
      <c r="C18" s="10">
        <f t="shared" si="2"/>
        <v>36085.467</v>
      </c>
      <c r="D18" s="12" t="str">
        <f t="shared" si="3"/>
        <v>vis</v>
      </c>
      <c r="E18" s="40">
        <f>VLOOKUP(C18,A!C$21:E$973,3,FALSE)</f>
        <v>-1635.9875864666976</v>
      </c>
      <c r="F18" s="3" t="s">
        <v>52</v>
      </c>
      <c r="G18" s="12" t="str">
        <f t="shared" si="4"/>
        <v>36085.467</v>
      </c>
      <c r="H18" s="10">
        <f t="shared" si="5"/>
        <v>2044</v>
      </c>
      <c r="I18" s="41" t="s">
        <v>75</v>
      </c>
      <c r="J18" s="42" t="s">
        <v>76</v>
      </c>
      <c r="K18" s="41">
        <v>2044</v>
      </c>
      <c r="L18" s="41" t="s">
        <v>77</v>
      </c>
      <c r="M18" s="42" t="s">
        <v>57</v>
      </c>
      <c r="N18" s="42"/>
      <c r="O18" s="43" t="s">
        <v>78</v>
      </c>
      <c r="P18" s="43" t="s">
        <v>79</v>
      </c>
    </row>
    <row r="19" spans="1:16" ht="12.75" customHeight="1" thickBot="1">
      <c r="A19" s="10" t="str">
        <f t="shared" si="0"/>
        <v> MHAR 1 </v>
      </c>
      <c r="B19" s="3" t="str">
        <f t="shared" si="1"/>
        <v>I</v>
      </c>
      <c r="C19" s="10">
        <f t="shared" si="2"/>
        <v>36436.502</v>
      </c>
      <c r="D19" s="12" t="str">
        <f t="shared" si="3"/>
        <v>vis</v>
      </c>
      <c r="E19" s="40">
        <f>VLOOKUP(C19,A!C$21:E$973,3,FALSE)</f>
        <v>-1601.0037661161166</v>
      </c>
      <c r="F19" s="3" t="s">
        <v>52</v>
      </c>
      <c r="G19" s="12" t="str">
        <f t="shared" si="4"/>
        <v>36436.502</v>
      </c>
      <c r="H19" s="10">
        <f t="shared" si="5"/>
        <v>2114</v>
      </c>
      <c r="I19" s="41" t="s">
        <v>80</v>
      </c>
      <c r="J19" s="42" t="s">
        <v>81</v>
      </c>
      <c r="K19" s="41">
        <v>2114</v>
      </c>
      <c r="L19" s="41" t="s">
        <v>82</v>
      </c>
      <c r="M19" s="42" t="s">
        <v>57</v>
      </c>
      <c r="N19" s="42"/>
      <c r="O19" s="43" t="s">
        <v>78</v>
      </c>
      <c r="P19" s="43" t="s">
        <v>79</v>
      </c>
    </row>
    <row r="20" spans="1:16" ht="12.75" customHeight="1" thickBot="1">
      <c r="A20" s="10" t="str">
        <f t="shared" si="0"/>
        <v> HABZ 7 </v>
      </c>
      <c r="B20" s="3" t="str">
        <f t="shared" si="1"/>
        <v>I</v>
      </c>
      <c r="C20" s="10">
        <f t="shared" si="2"/>
        <v>36868.257</v>
      </c>
      <c r="D20" s="12" t="str">
        <f t="shared" si="3"/>
        <v>vis</v>
      </c>
      <c r="E20" s="40">
        <f>VLOOKUP(C20,A!C$21:E$973,3,FALSE)</f>
        <v>-1557.97546593105</v>
      </c>
      <c r="F20" s="3" t="s">
        <v>52</v>
      </c>
      <c r="G20" s="12" t="str">
        <f t="shared" si="4"/>
        <v>36868.257</v>
      </c>
      <c r="H20" s="10">
        <f t="shared" si="5"/>
        <v>2200</v>
      </c>
      <c r="I20" s="41" t="s">
        <v>83</v>
      </c>
      <c r="J20" s="42" t="s">
        <v>84</v>
      </c>
      <c r="K20" s="41">
        <v>2200</v>
      </c>
      <c r="L20" s="41" t="s">
        <v>85</v>
      </c>
      <c r="M20" s="42" t="s">
        <v>57</v>
      </c>
      <c r="N20" s="42"/>
      <c r="O20" s="43" t="s">
        <v>78</v>
      </c>
      <c r="P20" s="43" t="s">
        <v>86</v>
      </c>
    </row>
    <row r="21" spans="1:16" ht="12.75" customHeight="1" thickBot="1">
      <c r="A21" s="10" t="str">
        <f t="shared" si="0"/>
        <v> HABZ 7 </v>
      </c>
      <c r="B21" s="3" t="str">
        <f t="shared" si="1"/>
        <v>I</v>
      </c>
      <c r="C21" s="10">
        <f t="shared" si="2"/>
        <v>36868.301</v>
      </c>
      <c r="D21" s="12" t="str">
        <f t="shared" si="3"/>
        <v>vis</v>
      </c>
      <c r="E21" s="40">
        <f>VLOOKUP(C21,A!C$21:E$973,3,FALSE)</f>
        <v>-1557.971080932131</v>
      </c>
      <c r="F21" s="3" t="s">
        <v>52</v>
      </c>
      <c r="G21" s="12" t="str">
        <f t="shared" si="4"/>
        <v>36868.301</v>
      </c>
      <c r="H21" s="10">
        <f t="shared" si="5"/>
        <v>2200</v>
      </c>
      <c r="I21" s="41" t="s">
        <v>87</v>
      </c>
      <c r="J21" s="42" t="s">
        <v>88</v>
      </c>
      <c r="K21" s="41">
        <v>2200</v>
      </c>
      <c r="L21" s="41" t="s">
        <v>89</v>
      </c>
      <c r="M21" s="42" t="s">
        <v>57</v>
      </c>
      <c r="N21" s="42"/>
      <c r="O21" s="43" t="s">
        <v>78</v>
      </c>
      <c r="P21" s="43" t="s">
        <v>86</v>
      </c>
    </row>
    <row r="22" spans="1:16" ht="12.75" customHeight="1" thickBot="1">
      <c r="A22" s="10" t="str">
        <f t="shared" si="0"/>
        <v> HABZ 7 </v>
      </c>
      <c r="B22" s="3" t="str">
        <f t="shared" si="1"/>
        <v>I</v>
      </c>
      <c r="C22" s="10">
        <f t="shared" si="2"/>
        <v>36868.341</v>
      </c>
      <c r="D22" s="12" t="str">
        <f t="shared" si="3"/>
        <v>vis</v>
      </c>
      <c r="E22" s="40">
        <f>VLOOKUP(C22,A!C$21:E$973,3,FALSE)</f>
        <v>-1557.9670945694775</v>
      </c>
      <c r="F22" s="3" t="s">
        <v>52</v>
      </c>
      <c r="G22" s="12" t="str">
        <f t="shared" si="4"/>
        <v>36868.341</v>
      </c>
      <c r="H22" s="10">
        <f t="shared" si="5"/>
        <v>2200</v>
      </c>
      <c r="I22" s="41" t="s">
        <v>90</v>
      </c>
      <c r="J22" s="42" t="s">
        <v>91</v>
      </c>
      <c r="K22" s="41">
        <v>2200</v>
      </c>
      <c r="L22" s="41" t="s">
        <v>92</v>
      </c>
      <c r="M22" s="42" t="s">
        <v>57</v>
      </c>
      <c r="N22" s="42"/>
      <c r="O22" s="43" t="s">
        <v>78</v>
      </c>
      <c r="P22" s="43" t="s">
        <v>86</v>
      </c>
    </row>
    <row r="23" spans="1:16" ht="12.75" customHeight="1" thickBot="1">
      <c r="A23" s="10" t="str">
        <f t="shared" si="0"/>
        <v> MHAR 1 </v>
      </c>
      <c r="B23" s="3" t="str">
        <f t="shared" si="1"/>
        <v>I</v>
      </c>
      <c r="C23" s="10">
        <f t="shared" si="2"/>
        <v>37249.299</v>
      </c>
      <c r="D23" s="12" t="str">
        <f t="shared" si="3"/>
        <v>vis</v>
      </c>
      <c r="E23" s="40">
        <f>VLOOKUP(C23,A!C$21:E$973,3,FALSE)</f>
        <v>-1520.0011759769827</v>
      </c>
      <c r="F23" s="3" t="s">
        <v>52</v>
      </c>
      <c r="G23" s="12" t="str">
        <f t="shared" si="4"/>
        <v>37249.299</v>
      </c>
      <c r="H23" s="10">
        <f t="shared" si="5"/>
        <v>2276</v>
      </c>
      <c r="I23" s="41" t="s">
        <v>93</v>
      </c>
      <c r="J23" s="42" t="s">
        <v>94</v>
      </c>
      <c r="K23" s="41">
        <v>2276</v>
      </c>
      <c r="L23" s="41" t="s">
        <v>95</v>
      </c>
      <c r="M23" s="42" t="s">
        <v>57</v>
      </c>
      <c r="N23" s="42"/>
      <c r="O23" s="43" t="s">
        <v>78</v>
      </c>
      <c r="P23" s="43" t="s">
        <v>79</v>
      </c>
    </row>
    <row r="24" spans="1:16" ht="12.75" customHeight="1" thickBot="1">
      <c r="A24" s="10" t="str">
        <f t="shared" si="0"/>
        <v> MHAR 1 </v>
      </c>
      <c r="B24" s="3" t="str">
        <f t="shared" si="1"/>
        <v>I</v>
      </c>
      <c r="C24" s="10">
        <f t="shared" si="2"/>
        <v>37545.348</v>
      </c>
      <c r="D24" s="12" t="str">
        <f t="shared" si="3"/>
        <v>vis</v>
      </c>
      <c r="E24" s="40">
        <f>VLOOKUP(C24,A!C$21:E$973,3,FALSE)</f>
        <v>-1490.4972090478473</v>
      </c>
      <c r="F24" s="3" t="s">
        <v>52</v>
      </c>
      <c r="G24" s="12" t="str">
        <f t="shared" si="4"/>
        <v>37545.348</v>
      </c>
      <c r="H24" s="10">
        <f t="shared" si="5"/>
        <v>2335</v>
      </c>
      <c r="I24" s="41" t="s">
        <v>96</v>
      </c>
      <c r="J24" s="42" t="s">
        <v>97</v>
      </c>
      <c r="K24" s="41">
        <v>2335</v>
      </c>
      <c r="L24" s="41" t="s">
        <v>98</v>
      </c>
      <c r="M24" s="42" t="s">
        <v>57</v>
      </c>
      <c r="N24" s="42"/>
      <c r="O24" s="43" t="s">
        <v>78</v>
      </c>
      <c r="P24" s="43" t="s">
        <v>79</v>
      </c>
    </row>
    <row r="25" spans="1:16" ht="12.75" customHeight="1" thickBot="1">
      <c r="A25" s="10" t="str">
        <f t="shared" si="0"/>
        <v> MHAR 1 </v>
      </c>
      <c r="B25" s="3" t="str">
        <f t="shared" si="1"/>
        <v>I</v>
      </c>
      <c r="C25" s="10">
        <f t="shared" si="2"/>
        <v>37560.406</v>
      </c>
      <c r="D25" s="12" t="str">
        <f t="shared" si="3"/>
        <v>vis</v>
      </c>
      <c r="E25" s="40">
        <f>VLOOKUP(C25,A!C$21:E$973,3,FALSE)</f>
        <v>-1488.9965428269884</v>
      </c>
      <c r="F25" s="3" t="s">
        <v>52</v>
      </c>
      <c r="G25" s="12" t="str">
        <f t="shared" si="4"/>
        <v>37560.406</v>
      </c>
      <c r="H25" s="10">
        <f t="shared" si="5"/>
        <v>2338</v>
      </c>
      <c r="I25" s="41" t="s">
        <v>99</v>
      </c>
      <c r="J25" s="42" t="s">
        <v>100</v>
      </c>
      <c r="K25" s="41">
        <v>2338</v>
      </c>
      <c r="L25" s="41" t="s">
        <v>101</v>
      </c>
      <c r="M25" s="42" t="s">
        <v>57</v>
      </c>
      <c r="N25" s="42"/>
      <c r="O25" s="43" t="s">
        <v>78</v>
      </c>
      <c r="P25" s="43" t="s">
        <v>79</v>
      </c>
    </row>
    <row r="26" spans="1:16" ht="12.75" customHeight="1" thickBot="1">
      <c r="A26" s="10" t="str">
        <f t="shared" si="0"/>
        <v> MHAR 1 </v>
      </c>
      <c r="B26" s="3" t="str">
        <f t="shared" si="1"/>
        <v>I</v>
      </c>
      <c r="C26" s="10">
        <f t="shared" si="2"/>
        <v>37575.399</v>
      </c>
      <c r="D26" s="12" t="str">
        <f t="shared" si="3"/>
        <v>vis</v>
      </c>
      <c r="E26" s="40">
        <f>VLOOKUP(C26,A!C$21:E$973,3,FALSE)</f>
        <v>-1487.5023544454423</v>
      </c>
      <c r="F26" s="3" t="s">
        <v>52</v>
      </c>
      <c r="G26" s="12" t="str">
        <f t="shared" si="4"/>
        <v>37575.399</v>
      </c>
      <c r="H26" s="10">
        <f t="shared" si="5"/>
        <v>2341</v>
      </c>
      <c r="I26" s="41" t="s">
        <v>102</v>
      </c>
      <c r="J26" s="42" t="s">
        <v>103</v>
      </c>
      <c r="K26" s="41">
        <v>2341</v>
      </c>
      <c r="L26" s="41" t="s">
        <v>104</v>
      </c>
      <c r="M26" s="42" t="s">
        <v>57</v>
      </c>
      <c r="N26" s="42"/>
      <c r="O26" s="43" t="s">
        <v>78</v>
      </c>
      <c r="P26" s="43" t="s">
        <v>79</v>
      </c>
    </row>
    <row r="27" spans="1:16" ht="12.75" customHeight="1" thickBot="1">
      <c r="A27" s="10" t="str">
        <f t="shared" si="0"/>
        <v> MHAR 1 </v>
      </c>
      <c r="B27" s="3" t="str">
        <f t="shared" si="1"/>
        <v>I</v>
      </c>
      <c r="C27" s="10">
        <f t="shared" si="2"/>
        <v>37871.492</v>
      </c>
      <c r="D27" s="12" t="str">
        <f t="shared" si="3"/>
        <v>vis</v>
      </c>
      <c r="E27" s="40">
        <f>VLOOKUP(C27,A!C$21:E$973,3,FALSE)</f>
        <v>-1457.994002517388</v>
      </c>
      <c r="F27" s="3" t="s">
        <v>52</v>
      </c>
      <c r="G27" s="12" t="str">
        <f t="shared" si="4"/>
        <v>37871.492</v>
      </c>
      <c r="H27" s="10">
        <f t="shared" si="5"/>
        <v>2400</v>
      </c>
      <c r="I27" s="41" t="s">
        <v>105</v>
      </c>
      <c r="J27" s="42" t="s">
        <v>106</v>
      </c>
      <c r="K27" s="41">
        <v>2400</v>
      </c>
      <c r="L27" s="41" t="s">
        <v>107</v>
      </c>
      <c r="M27" s="42" t="s">
        <v>57</v>
      </c>
      <c r="N27" s="42"/>
      <c r="O27" s="43" t="s">
        <v>78</v>
      </c>
      <c r="P27" s="43" t="s">
        <v>79</v>
      </c>
    </row>
    <row r="28" spans="1:16" ht="12.75" customHeight="1" thickBot="1">
      <c r="A28" s="10" t="str">
        <f t="shared" si="0"/>
        <v> MHAR 1 </v>
      </c>
      <c r="B28" s="3" t="str">
        <f t="shared" si="1"/>
        <v>I</v>
      </c>
      <c r="C28" s="10">
        <f t="shared" si="2"/>
        <v>37876.495</v>
      </c>
      <c r="D28" s="12" t="str">
        <f t="shared" si="3"/>
        <v>vis</v>
      </c>
      <c r="E28" s="40">
        <f>VLOOKUP(C28,A!C$21:E$973,3,FALSE)</f>
        <v>-1457.4954082085183</v>
      </c>
      <c r="F28" s="3" t="s">
        <v>52</v>
      </c>
      <c r="G28" s="12" t="str">
        <f t="shared" si="4"/>
        <v>37876.495</v>
      </c>
      <c r="H28" s="10">
        <f t="shared" si="5"/>
        <v>2401</v>
      </c>
      <c r="I28" s="41" t="s">
        <v>108</v>
      </c>
      <c r="J28" s="42" t="s">
        <v>109</v>
      </c>
      <c r="K28" s="41">
        <v>2401</v>
      </c>
      <c r="L28" s="41" t="s">
        <v>110</v>
      </c>
      <c r="M28" s="42" t="s">
        <v>57</v>
      </c>
      <c r="N28" s="42"/>
      <c r="O28" s="43" t="s">
        <v>78</v>
      </c>
      <c r="P28" s="43" t="s">
        <v>79</v>
      </c>
    </row>
    <row r="29" spans="1:16" ht="12.75" customHeight="1" thickBot="1">
      <c r="A29" s="10" t="str">
        <f t="shared" si="0"/>
        <v> MHAR 1 </v>
      </c>
      <c r="B29" s="3" t="str">
        <f t="shared" si="1"/>
        <v>I</v>
      </c>
      <c r="C29" s="10">
        <f t="shared" si="2"/>
        <v>37886.491</v>
      </c>
      <c r="D29" s="12" t="str">
        <f t="shared" si="3"/>
        <v>vis</v>
      </c>
      <c r="E29" s="40">
        <f>VLOOKUP(C29,A!C$21:E$973,3,FALSE)</f>
        <v>-1456.499216181443</v>
      </c>
      <c r="F29" s="3" t="s">
        <v>52</v>
      </c>
      <c r="G29" s="12" t="str">
        <f t="shared" si="4"/>
        <v>37886.491</v>
      </c>
      <c r="H29" s="10">
        <f t="shared" si="5"/>
        <v>2403</v>
      </c>
      <c r="I29" s="41" t="s">
        <v>111</v>
      </c>
      <c r="J29" s="42" t="s">
        <v>112</v>
      </c>
      <c r="K29" s="41">
        <v>2403</v>
      </c>
      <c r="L29" s="41" t="s">
        <v>113</v>
      </c>
      <c r="M29" s="42" t="s">
        <v>57</v>
      </c>
      <c r="N29" s="42"/>
      <c r="O29" s="43" t="s">
        <v>78</v>
      </c>
      <c r="P29" s="43" t="s">
        <v>79</v>
      </c>
    </row>
    <row r="30" spans="1:16" ht="12.75" customHeight="1" thickBot="1">
      <c r="A30" s="10" t="str">
        <f t="shared" si="0"/>
        <v> MHAR 1 </v>
      </c>
      <c r="B30" s="3" t="str">
        <f t="shared" si="1"/>
        <v>I</v>
      </c>
      <c r="C30" s="10">
        <f t="shared" si="2"/>
        <v>37911.453</v>
      </c>
      <c r="D30" s="12" t="str">
        <f t="shared" si="3"/>
        <v>vis</v>
      </c>
      <c r="E30" s="40">
        <f>VLOOKUP(C30,A!C$21:E$973,3,FALSE)</f>
        <v>-1454.0115265676118</v>
      </c>
      <c r="F30" s="3" t="s">
        <v>52</v>
      </c>
      <c r="G30" s="12" t="str">
        <f t="shared" si="4"/>
        <v>37911.453</v>
      </c>
      <c r="H30" s="10">
        <f t="shared" si="5"/>
        <v>2408</v>
      </c>
      <c r="I30" s="41" t="s">
        <v>114</v>
      </c>
      <c r="J30" s="42" t="s">
        <v>115</v>
      </c>
      <c r="K30" s="41">
        <v>2408</v>
      </c>
      <c r="L30" s="41" t="s">
        <v>116</v>
      </c>
      <c r="M30" s="42" t="s">
        <v>57</v>
      </c>
      <c r="N30" s="42"/>
      <c r="O30" s="43" t="s">
        <v>78</v>
      </c>
      <c r="P30" s="43" t="s">
        <v>79</v>
      </c>
    </row>
    <row r="31" spans="1:16" ht="12.75" customHeight="1" thickBot="1">
      <c r="A31" s="10" t="str">
        <f t="shared" si="0"/>
        <v> MHAR 1 </v>
      </c>
      <c r="B31" s="3" t="str">
        <f t="shared" si="1"/>
        <v>I</v>
      </c>
      <c r="C31" s="10">
        <f t="shared" si="2"/>
        <v>38232.534</v>
      </c>
      <c r="D31" s="12" t="str">
        <f t="shared" si="3"/>
        <v>vis</v>
      </c>
      <c r="E31" s="40">
        <f>VLOOKUP(C31,A!C$21:E$973,3,FALSE)</f>
        <v>-1422.012893890002</v>
      </c>
      <c r="F31" s="3" t="s">
        <v>52</v>
      </c>
      <c r="G31" s="12" t="str">
        <f t="shared" si="4"/>
        <v>38232.534</v>
      </c>
      <c r="H31" s="10">
        <f t="shared" si="5"/>
        <v>2472</v>
      </c>
      <c r="I31" s="41" t="s">
        <v>117</v>
      </c>
      <c r="J31" s="42" t="s">
        <v>118</v>
      </c>
      <c r="K31" s="41">
        <v>2472</v>
      </c>
      <c r="L31" s="41" t="s">
        <v>119</v>
      </c>
      <c r="M31" s="42" t="s">
        <v>57</v>
      </c>
      <c r="N31" s="42"/>
      <c r="O31" s="43" t="s">
        <v>78</v>
      </c>
      <c r="P31" s="43" t="s">
        <v>79</v>
      </c>
    </row>
    <row r="32" spans="1:16" ht="12.75" customHeight="1" thickBot="1">
      <c r="A32" s="10" t="str">
        <f t="shared" si="0"/>
        <v> MHAR 1 </v>
      </c>
      <c r="B32" s="3" t="str">
        <f t="shared" si="1"/>
        <v>I</v>
      </c>
      <c r="C32" s="10">
        <f t="shared" si="2"/>
        <v>39025.363</v>
      </c>
      <c r="D32" s="12" t="str">
        <f t="shared" si="3"/>
        <v>vis</v>
      </c>
      <c r="E32" s="40">
        <f>VLOOKUP(C32,A!C$21:E$973,3,FALSE)</f>
        <v>-1343.000295987427</v>
      </c>
      <c r="F32" s="3" t="s">
        <v>52</v>
      </c>
      <c r="G32" s="12" t="str">
        <f t="shared" si="4"/>
        <v>39025.363</v>
      </c>
      <c r="H32" s="10">
        <f t="shared" si="5"/>
        <v>2630</v>
      </c>
      <c r="I32" s="41" t="s">
        <v>120</v>
      </c>
      <c r="J32" s="42" t="s">
        <v>121</v>
      </c>
      <c r="K32" s="41">
        <v>2630</v>
      </c>
      <c r="L32" s="41" t="s">
        <v>95</v>
      </c>
      <c r="M32" s="42" t="s">
        <v>57</v>
      </c>
      <c r="N32" s="42"/>
      <c r="O32" s="43" t="s">
        <v>78</v>
      </c>
      <c r="P32" s="43" t="s">
        <v>79</v>
      </c>
    </row>
    <row r="33" spans="1:16" ht="12.75" customHeight="1" thickBot="1">
      <c r="A33" s="10" t="str">
        <f t="shared" si="0"/>
        <v>BAVM 193 </v>
      </c>
      <c r="B33" s="3" t="str">
        <f t="shared" si="1"/>
        <v>I</v>
      </c>
      <c r="C33" s="10">
        <f t="shared" si="2"/>
        <v>53991.3364</v>
      </c>
      <c r="D33" s="12" t="str">
        <f t="shared" si="3"/>
        <v>vis</v>
      </c>
      <c r="E33" s="40">
        <f>VLOOKUP(C33,A!C$21:E$973,3,FALSE)</f>
        <v>148.49463983711746</v>
      </c>
      <c r="F33" s="3" t="s">
        <v>52</v>
      </c>
      <c r="G33" s="12" t="str">
        <f t="shared" si="4"/>
        <v>53991.3364</v>
      </c>
      <c r="H33" s="10">
        <f t="shared" si="5"/>
        <v>5613</v>
      </c>
      <c r="I33" s="41" t="s">
        <v>122</v>
      </c>
      <c r="J33" s="42" t="s">
        <v>123</v>
      </c>
      <c r="K33" s="41">
        <v>5613</v>
      </c>
      <c r="L33" s="41" t="s">
        <v>124</v>
      </c>
      <c r="M33" s="42" t="s">
        <v>125</v>
      </c>
      <c r="N33" s="42" t="s">
        <v>126</v>
      </c>
      <c r="O33" s="43" t="s">
        <v>127</v>
      </c>
      <c r="P33" s="44" t="s">
        <v>128</v>
      </c>
    </row>
    <row r="34" spans="1:16" ht="12.75" customHeight="1" thickBot="1">
      <c r="A34" s="10" t="str">
        <f t="shared" si="0"/>
        <v>BAVM 193 </v>
      </c>
      <c r="B34" s="3" t="str">
        <f t="shared" si="1"/>
        <v>I</v>
      </c>
      <c r="C34" s="10">
        <f t="shared" si="2"/>
        <v>54327.5372</v>
      </c>
      <c r="D34" s="12" t="str">
        <f t="shared" si="3"/>
        <v>vis</v>
      </c>
      <c r="E34" s="40">
        <f>VLOOKUP(C34,A!C$21:E$973,3,FALSE)</f>
        <v>182.00009766588514</v>
      </c>
      <c r="F34" s="3" t="s">
        <v>52</v>
      </c>
      <c r="G34" s="12" t="str">
        <f t="shared" si="4"/>
        <v>54327.5372</v>
      </c>
      <c r="H34" s="10">
        <f t="shared" si="5"/>
        <v>5680</v>
      </c>
      <c r="I34" s="41" t="s">
        <v>135</v>
      </c>
      <c r="J34" s="42" t="s">
        <v>136</v>
      </c>
      <c r="K34" s="41" t="s">
        <v>137</v>
      </c>
      <c r="L34" s="41" t="s">
        <v>138</v>
      </c>
      <c r="M34" s="42" t="s">
        <v>125</v>
      </c>
      <c r="N34" s="42" t="s">
        <v>126</v>
      </c>
      <c r="O34" s="43" t="s">
        <v>127</v>
      </c>
      <c r="P34" s="44" t="s">
        <v>128</v>
      </c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</sheetData>
  <sheetProtection/>
  <hyperlinks>
    <hyperlink ref="P33" r:id="rId1" display="http://www.bav-astro.de/sfs/BAVM_link.php?BAVMnr=193"/>
    <hyperlink ref="P11" r:id="rId2" display="http://www.bav-astro.de/sfs/BAVM_link.php?BAVMnr=183"/>
    <hyperlink ref="P34" r:id="rId3" display="http://www.bav-astro.de/sfs/BAVM_link.php?BAVMnr=19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