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32760" windowWidth="8895" windowHeight="1353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<sst xmlns="http://schemas.openxmlformats.org/spreadsheetml/2006/main" count="68" uniqueCount="60">
  <si>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</si>
  <si>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</si>
  <si>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</si>
  <si>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</si>
  <si>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</si>
  <si>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</si>
  <si>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</si>
  <si>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</si>
  <si>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</si>
  <si>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</si>
  <si>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</si>
  <si>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</si>
  <si>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</si>
  <si>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</si>
  <si>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</si>
  <si>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</si>
  <si>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</si>
  <si>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</si>
  <si>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</si>
  <si>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</si>
  <si>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</si>
  <si>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</si>
  <si>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</si>
  <si>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</si>
  <si>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</si>
  <si>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</si>
  <si>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</si>
  <si>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</si>
  <si>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</si>
  <si>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</si>
  <si>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</si>
  <si>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</si>
  <si>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</si>
  <si>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</si>
  <si>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</si>
  <si>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</si>
  <si>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>FH Del / na</t>
  </si>
  <si>
    <t xml:space="preserve">EA/SD:    </t>
  </si>
  <si>
    <t>IBVS 5287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</si>
  <si>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</si>
  <si>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</si>
  <si>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</si>
  <si>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</si>
  <si>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</si>
  <si>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</si>
  <si>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</si>
  <si>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</si>
  <si>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</si>
  <si>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</si>
  <si>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</si>
  <si>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2451697.4503 </t>
  </si>
  <si>
    <t> 01.06.2000 22:48 </t>
  </si>
  <si>
    <t> 0.0532 </t>
  </si>
  <si>
    <t>E </t>
  </si>
  <si>
    <t>?</t>
  </si>
  <si>
    <t> M.Zejda </t>
  </si>
  <si>
    <t>IBVS 5287 </t>
  </si>
  <si>
    <t>Add cycle</t>
  </si>
  <si>
    <t>Old Cycle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</si>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</sst>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FH Del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A!$F$21:$F$300</c:f>
              <c:numCache/>
            </c:numRef>
          </c:xVal>
          <c:yVal>
            <c:numRef>
              <c:f>A!$U$21:$U$300</c:f>
              <c:numCache/>
            </c:numRef>
          </c:yVal>
          <c:smooth val="0"/>
        </c:ser>
        <c:axId val="34768456"/>
        <c:axId val="44480649"/>
      </c:scatterChart>
      <c:valAx>
        <c:axId val="3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80649"/>
        <c:crosses val="autoZero"/>
        <c:crossBetween val="midCat"/>
        <c:dispUnits/>
      </c:valAx>
      <c:valAx>
        <c:axId val="44480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84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17</xdr:col>
      <xdr:colOff>190500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8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23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36</v>
      </c>
      <c r="F1" s="3">
        <v>52500.247</v>
      </c>
      <c r="G1" s="3">
        <v>0.67803797</v>
      </c>
      <c r="H1" s="3" t="s">
        <v>37</v>
      </c>
    </row>
    <row r="2" spans="1:4" ht="12.75">
      <c r="A2" t="s">
        <v>22</v>
      </c>
      <c r="B2" t="s">
        <v>37</v>
      </c>
      <c r="C2" s="3"/>
      <c r="D2" s="3"/>
    </row>
    <row r="3" ht="13.5" thickBot="1"/>
    <row r="4" spans="1:4" ht="14.25" thickBot="1" thickTop="1">
      <c r="A4" s="5" t="s">
        <v>35</v>
      </c>
      <c r="C4" s="8">
        <v>52500.247</v>
      </c>
      <c r="D4" s="9">
        <v>0.67803797</v>
      </c>
    </row>
    <row r="5" spans="1:4" ht="13.5" thickTop="1">
      <c r="A5" s="11" t="s">
        <v>27</v>
      </c>
      <c r="B5" s="12"/>
      <c r="C5" s="13">
        <v>-9.5</v>
      </c>
      <c r="D5" s="12" t="s">
        <v>28</v>
      </c>
    </row>
    <row r="6" ht="12.75">
      <c r="A6" s="5" t="s">
        <v>0</v>
      </c>
    </row>
    <row r="7" spans="1:3" ht="12.75">
      <c r="A7" t="s">
        <v>1</v>
      </c>
      <c r="C7">
        <f>C4</f>
        <v>52500.247</v>
      </c>
    </row>
    <row r="8" spans="1:4" ht="12.75">
      <c r="A8" t="s">
        <v>2</v>
      </c>
      <c r="C8">
        <f>D4</f>
        <v>0.67803797</v>
      </c>
      <c r="D8" s="29"/>
    </row>
    <row r="9" spans="1:4" ht="12.75">
      <c r="A9" s="26" t="s">
        <v>32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18</v>
      </c>
      <c r="D10" s="4" t="s">
        <v>19</v>
      </c>
      <c r="E10" s="12"/>
    </row>
    <row r="11" spans="1:5" ht="12.75">
      <c r="A11" s="12" t="s">
        <v>14</v>
      </c>
      <c r="B11" s="12"/>
      <c r="C11" s="23">
        <f ca="1">INTERCEPT(INDIRECT($D$9):G975,INDIRECT($C$9):F975)</f>
        <v>0</v>
      </c>
      <c r="D11" s="3"/>
      <c r="E11" s="12"/>
    </row>
    <row r="12" spans="1:5" ht="12.75">
      <c r="A12" s="12" t="s">
        <v>15</v>
      </c>
      <c r="B12" s="12"/>
      <c r="C12" s="23">
        <f ca="1">SLOPE(INDIRECT($D$9):G975,INDIRECT($C$9):F975)</f>
        <v>-2.1662161678840355E-07</v>
      </c>
      <c r="D12" s="3"/>
      <c r="E12" s="12"/>
    </row>
    <row r="13" spans="1:3" ht="12.75">
      <c r="A13" s="12" t="s">
        <v>17</v>
      </c>
      <c r="B13" s="12"/>
      <c r="C13" s="3" t="s">
        <v>12</v>
      </c>
    </row>
    <row r="14" spans="1:3" ht="12.75">
      <c r="A14" s="12"/>
      <c r="B14" s="12"/>
      <c r="C14" s="12"/>
    </row>
    <row r="15" spans="1:6" ht="12.75">
      <c r="A15" s="14" t="s">
        <v>16</v>
      </c>
      <c r="B15" s="12"/>
      <c r="C15" s="15">
        <f>(C7+C11)+(C8+C12)*INT(MAX(F21:F3516))</f>
        <v>52500.247</v>
      </c>
      <c r="E15" s="16" t="s">
        <v>57</v>
      </c>
      <c r="F15" s="13">
        <v>1</v>
      </c>
    </row>
    <row r="16" spans="1:6" ht="12.75">
      <c r="A16" s="18" t="s">
        <v>3</v>
      </c>
      <c r="B16" s="12"/>
      <c r="C16" s="19">
        <f>+C8+C12</f>
        <v>0.6780377533783832</v>
      </c>
      <c r="E16" s="16" t="s">
        <v>29</v>
      </c>
      <c r="F16" s="17">
        <f ca="1">NOW()+15018.5+$C$5/24</f>
        <v>59897.75909976852</v>
      </c>
    </row>
    <row r="17" spans="1:6" ht="13.5" thickBot="1">
      <c r="A17" s="16" t="s">
        <v>26</v>
      </c>
      <c r="B17" s="12"/>
      <c r="C17" s="12">
        <f>COUNT(C21:C2174)</f>
        <v>2</v>
      </c>
      <c r="E17" s="16" t="s">
        <v>58</v>
      </c>
      <c r="F17" s="17">
        <f>ROUND(2*(F16-$C$7)/$C$8,0)/2+F15</f>
        <v>10911</v>
      </c>
    </row>
    <row r="18" spans="1:6" ht="14.25" thickBot="1" thickTop="1">
      <c r="A18" s="18" t="s">
        <v>4</v>
      </c>
      <c r="B18" s="12"/>
      <c r="C18" s="21">
        <f>+C15</f>
        <v>52500.247</v>
      </c>
      <c r="D18" s="22">
        <f>+C16</f>
        <v>0.6780377533783832</v>
      </c>
      <c r="E18" s="16" t="s">
        <v>30</v>
      </c>
      <c r="F18" s="25">
        <f>ROUND(2*(F16-$C$15)/$C$16,0)/2+F15</f>
        <v>10911</v>
      </c>
    </row>
    <row r="19" spans="5:6" ht="13.5" thickTop="1">
      <c r="E19" s="16" t="s">
        <v>31</v>
      </c>
      <c r="F19" s="20">
        <f>+$C$15+$C$16*F18-15018.5-$C$5/24</f>
        <v>44880.212760444876</v>
      </c>
    </row>
    <row r="20" spans="1:21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46</v>
      </c>
      <c r="I20" s="7" t="s">
        <v>49</v>
      </c>
      <c r="J20" s="7" t="s">
        <v>43</v>
      </c>
      <c r="K20" s="7" t="s">
        <v>41</v>
      </c>
      <c r="L20" s="7" t="s">
        <v>23</v>
      </c>
      <c r="M20" s="7" t="s">
        <v>24</v>
      </c>
      <c r="N20" s="7" t="s">
        <v>25</v>
      </c>
      <c r="O20" s="7" t="s">
        <v>21</v>
      </c>
      <c r="P20" s="6" t="s">
        <v>20</v>
      </c>
      <c r="Q20" s="4" t="s">
        <v>13</v>
      </c>
      <c r="U20" s="48" t="s">
        <v>59</v>
      </c>
    </row>
    <row r="21" spans="1:17" ht="12.75">
      <c r="A21" s="31" t="s">
        <v>34</v>
      </c>
      <c r="B21" s="30" t="s">
        <v>33</v>
      </c>
      <c r="C21" s="31">
        <v>52500.247</v>
      </c>
      <c r="D21" s="28"/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37481.747</v>
      </c>
    </row>
    <row r="22" spans="1:17" ht="12.75">
      <c r="A22" s="32" t="s">
        <v>38</v>
      </c>
      <c r="B22" s="33" t="s">
        <v>33</v>
      </c>
      <c r="C22" s="34">
        <v>51697.4503</v>
      </c>
      <c r="D22" s="34">
        <v>0.0105</v>
      </c>
      <c r="E22">
        <f>+(C22-C$7)/C$8</f>
        <v>-1183.9996217321077</v>
      </c>
      <c r="F22">
        <f>ROUND(2*E22,0)/2</f>
        <v>-1184</v>
      </c>
      <c r="G22">
        <f>+C22-(C$7+F22*C$8)</f>
        <v>0.0002564799942774698</v>
      </c>
      <c r="K22">
        <f>+G22</f>
        <v>0.0002564799942774698</v>
      </c>
      <c r="O22">
        <f>+C$11+C$12*$F22</f>
        <v>0.0002564799942774698</v>
      </c>
      <c r="Q22" s="2">
        <f>+C22-15018.5</f>
        <v>36678.9503</v>
      </c>
    </row>
    <row r="23" spans="3:4" ht="12.75">
      <c r="C23" s="10"/>
      <c r="D23" s="10"/>
    </row>
    <row r="24" spans="3:4" ht="12.75">
      <c r="C24" s="10"/>
      <c r="D24" s="10"/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5" t="s">
        <v>39</v>
      </c>
      <c r="I1" s="36" t="s">
        <v>40</v>
      </c>
      <c r="J1" s="37" t="s">
        <v>41</v>
      </c>
    </row>
    <row r="2" spans="9:10" ht="12.75">
      <c r="I2" s="38" t="s">
        <v>42</v>
      </c>
      <c r="J2" s="39" t="s">
        <v>43</v>
      </c>
    </row>
    <row r="3" spans="1:10" ht="12.75">
      <c r="A3" s="40" t="s">
        <v>44</v>
      </c>
      <c r="I3" s="38" t="s">
        <v>45</v>
      </c>
      <c r="J3" s="39" t="s">
        <v>46</v>
      </c>
    </row>
    <row r="4" spans="9:10" ht="12.75">
      <c r="I4" s="38" t="s">
        <v>47</v>
      </c>
      <c r="J4" s="39" t="s">
        <v>46</v>
      </c>
    </row>
    <row r="5" spans="9:10" ht="13.5" thickBot="1">
      <c r="I5" s="41" t="s">
        <v>48</v>
      </c>
      <c r="J5" s="42" t="s">
        <v>49</v>
      </c>
    </row>
    <row r="10" ht="13.5" thickBot="1"/>
    <row r="11" spans="1:16" ht="12.75" customHeight="1" thickBot="1">
      <c r="A11" s="10" t="str">
        <f>P11</f>
        <v>IBVS 5287 </v>
      </c>
      <c r="B11" s="3" t="str">
        <f>IF(H11=INT(H11),"I","II")</f>
        <v>I</v>
      </c>
      <c r="C11" s="10">
        <f>1*G11</f>
        <v>51697.4503</v>
      </c>
      <c r="D11" s="12" t="str">
        <f>VLOOKUP(F11,I$1:J$5,2,FALSE)</f>
        <v>vis</v>
      </c>
      <c r="E11" s="43">
        <f>VLOOKUP(C11,A!C$21:E$973,3,FALSE)</f>
        <v>-1183.9996217321077</v>
      </c>
      <c r="F11" s="3" t="s">
        <v>48</v>
      </c>
      <c r="G11" s="12" t="str">
        <f>MID(I11,3,LEN(I11)-3)</f>
        <v>51697.4503</v>
      </c>
      <c r="H11" s="10">
        <f>1*K11</f>
        <v>32308</v>
      </c>
      <c r="I11" s="44" t="s">
        <v>50</v>
      </c>
      <c r="J11" s="45" t="s">
        <v>51</v>
      </c>
      <c r="K11" s="44">
        <v>32308</v>
      </c>
      <c r="L11" s="44" t="s">
        <v>52</v>
      </c>
      <c r="M11" s="45" t="s">
        <v>53</v>
      </c>
      <c r="N11" s="45" t="s">
        <v>54</v>
      </c>
      <c r="O11" s="46" t="s">
        <v>55</v>
      </c>
      <c r="P11" s="47" t="s">
        <v>56</v>
      </c>
    </row>
    <row r="12" spans="2:6" ht="12.75">
      <c r="B12" s="3"/>
      <c r="F12" s="3"/>
    </row>
    <row r="13" spans="2:6" ht="12.75">
      <c r="B13" s="3"/>
      <c r="F13" s="3"/>
    </row>
    <row r="14" spans="2:6" ht="12.75">
      <c r="B14" s="3"/>
      <c r="F14" s="3"/>
    </row>
    <row r="15" spans="2:6" ht="12.75">
      <c r="B15" s="3"/>
      <c r="F15" s="3"/>
    </row>
    <row r="16" spans="2:6" ht="12.75">
      <c r="B16" s="3"/>
      <c r="F16" s="3"/>
    </row>
    <row r="17" spans="2:6" ht="12.75">
      <c r="B17" s="3"/>
      <c r="F17" s="3"/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</sheetData>
  <sheetProtection/>
  <hyperlinks>
    <hyperlink ref="P11" r:id="rId1" display="http://www.konkoly.hu/cgi-bin/IBVS?528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